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mc:AlternateContent xmlns:mc="http://schemas.openxmlformats.org/markup-compatibility/2006">
    <mc:Choice Requires="x15">
      <x15ac:absPath xmlns:x15ac="http://schemas.microsoft.com/office/spreadsheetml/2010/11/ac" url="/Users/alfonsomarin/"/>
    </mc:Choice>
  </mc:AlternateContent>
  <xr:revisionPtr revIDLastSave="0" documentId="13_ncr:1_{2454BEA9-8538-BF4B-B760-4DF5F431C99E}" xr6:coauthVersionLast="47" xr6:coauthVersionMax="47" xr10:uidLastSave="{00000000-0000-0000-0000-000000000000}"/>
  <bookViews>
    <workbookView xWindow="2540" yWindow="0" windowWidth="26260" windowHeight="18000" tabRatio="591" xr2:uid="{00000000-000D-0000-FFFF-FFFF00000000}"/>
  </bookViews>
  <sheets>
    <sheet name="Nómina" sheetId="1" r:id="rId1"/>
    <sheet name="Cuotas patronales" sheetId="2" state="hidden" r:id="rId2"/>
  </sheets>
  <definedNames>
    <definedName name="_xlnm.Print_Area" localSheetId="1">'Cuotas patronales'!$A$1:$BH$41</definedName>
    <definedName name="_xlnm.Print_Area" localSheetId="0">Nómina!$A$1:$AR$80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39" i="2" l="1"/>
  <c r="AM39" i="2"/>
  <c r="R39" i="2"/>
  <c r="O39" i="2"/>
  <c r="N39" i="2"/>
  <c r="L39" i="2"/>
  <c r="J39" i="2"/>
  <c r="BA38" i="2"/>
  <c r="AM38" i="2"/>
  <c r="R38" i="2"/>
  <c r="O38" i="2"/>
  <c r="N38" i="2"/>
  <c r="L38" i="2"/>
  <c r="J38" i="2"/>
  <c r="BA37" i="2"/>
  <c r="AM37" i="2"/>
  <c r="R37" i="2"/>
  <c r="O37" i="2"/>
  <c r="N37" i="2"/>
  <c r="L37" i="2"/>
  <c r="J37" i="2"/>
  <c r="BA36" i="2"/>
  <c r="AM36" i="2"/>
  <c r="R36" i="2"/>
  <c r="O36" i="2"/>
  <c r="N36" i="2"/>
  <c r="L36" i="2"/>
  <c r="J36" i="2"/>
  <c r="BA35" i="2"/>
  <c r="AM35" i="2"/>
  <c r="R35" i="2"/>
  <c r="O35" i="2"/>
  <c r="N35" i="2"/>
  <c r="L35" i="2"/>
  <c r="J35" i="2"/>
  <c r="BA34" i="2"/>
  <c r="AM34" i="2"/>
  <c r="R34" i="2"/>
  <c r="O34" i="2"/>
  <c r="N34" i="2"/>
  <c r="L34" i="2"/>
  <c r="J34" i="2"/>
  <c r="BA33" i="2"/>
  <c r="AM33" i="2"/>
  <c r="R33" i="2"/>
  <c r="O33" i="2"/>
  <c r="N33" i="2"/>
  <c r="L33" i="2"/>
  <c r="J33" i="2"/>
  <c r="BA32" i="2"/>
  <c r="AM32" i="2"/>
  <c r="R32" i="2"/>
  <c r="O32" i="2"/>
  <c r="N32" i="2"/>
  <c r="L32" i="2"/>
  <c r="J32" i="2"/>
  <c r="AM31" i="2"/>
  <c r="R31" i="2"/>
  <c r="O31" i="2"/>
  <c r="N31" i="2"/>
  <c r="L31" i="2"/>
  <c r="J31" i="2"/>
  <c r="AM30" i="2"/>
  <c r="R30" i="2"/>
  <c r="O30" i="2"/>
  <c r="N30" i="2"/>
  <c r="L30" i="2"/>
  <c r="J30" i="2"/>
  <c r="AM29" i="2"/>
  <c r="R29" i="2"/>
  <c r="O29" i="2"/>
  <c r="N29" i="2"/>
  <c r="L29" i="2"/>
  <c r="J29" i="2"/>
  <c r="AM28" i="2"/>
  <c r="R28" i="2"/>
  <c r="O28" i="2"/>
  <c r="N28" i="2"/>
  <c r="L28" i="2"/>
  <c r="J28" i="2"/>
  <c r="AM27" i="2"/>
  <c r="R27" i="2"/>
  <c r="O27" i="2"/>
  <c r="N27" i="2"/>
  <c r="L27" i="2"/>
  <c r="J27" i="2"/>
  <c r="B27" i="2"/>
  <c r="AM26" i="2"/>
  <c r="R26" i="2"/>
  <c r="O26" i="2"/>
  <c r="N26" i="2"/>
  <c r="L26" i="2"/>
  <c r="J26" i="2"/>
  <c r="B26" i="2"/>
  <c r="BA25" i="2"/>
  <c r="AM25" i="2"/>
  <c r="R25" i="2"/>
  <c r="O25" i="2"/>
  <c r="N25" i="2"/>
  <c r="L25" i="2"/>
  <c r="J25" i="2"/>
  <c r="H46" i="1"/>
  <c r="I43" i="1"/>
  <c r="F43" i="1"/>
  <c r="I42" i="1"/>
  <c r="F42" i="1"/>
  <c r="I41" i="1"/>
  <c r="F41" i="1"/>
  <c r="I40" i="1"/>
  <c r="F40" i="1"/>
  <c r="I39" i="1"/>
  <c r="F39" i="1"/>
  <c r="I38" i="1"/>
  <c r="F38" i="1"/>
  <c r="I37" i="1"/>
  <c r="F37" i="1"/>
  <c r="I36" i="1"/>
  <c r="F36" i="1"/>
  <c r="I35" i="1"/>
  <c r="F35" i="1"/>
  <c r="I34" i="1"/>
  <c r="F34" i="1"/>
  <c r="I33" i="1"/>
  <c r="F33" i="1"/>
  <c r="I32" i="1"/>
  <c r="F32" i="1"/>
  <c r="I31" i="1"/>
  <c r="F31" i="1"/>
  <c r="I30" i="1"/>
  <c r="F30" i="1"/>
  <c r="I29" i="1"/>
  <c r="F29" i="1"/>
  <c r="V39" i="2" l="1"/>
  <c r="T39" i="2"/>
  <c r="S39" i="2"/>
  <c r="K39" i="2"/>
  <c r="M39" i="2" s="1"/>
  <c r="P39" i="2" s="1"/>
  <c r="V38" i="2"/>
  <c r="T38" i="2"/>
  <c r="S38" i="2"/>
  <c r="K38" i="2"/>
  <c r="M38" i="2" s="1"/>
  <c r="P38" i="2" s="1"/>
  <c r="T34" i="2"/>
  <c r="V33" i="2"/>
  <c r="V31" i="2"/>
  <c r="T31" i="2"/>
  <c r="K29" i="2"/>
  <c r="M29" i="2" s="1"/>
  <c r="P29" i="2" s="1"/>
  <c r="V27" i="2"/>
  <c r="K25" i="2"/>
  <c r="M25" i="2" s="1"/>
  <c r="P25" i="2" s="1"/>
  <c r="N37" i="1"/>
  <c r="N36" i="1"/>
  <c r="N35" i="1"/>
  <c r="K31" i="1"/>
  <c r="V37" i="2"/>
  <c r="T37" i="2"/>
  <c r="S37" i="2"/>
  <c r="K37" i="2"/>
  <c r="M37" i="2" s="1"/>
  <c r="P37" i="2" s="1"/>
  <c r="V36" i="2"/>
  <c r="U36" i="2"/>
  <c r="T36" i="2"/>
  <c r="S36" i="2"/>
  <c r="K36" i="2"/>
  <c r="M36" i="2" s="1"/>
  <c r="P36" i="2" s="1"/>
  <c r="K34" i="2"/>
  <c r="M34" i="2" s="1"/>
  <c r="P34" i="2" s="1"/>
  <c r="T33" i="2"/>
  <c r="V30" i="2"/>
  <c r="S29" i="2"/>
  <c r="V26" i="2"/>
  <c r="S26" i="2"/>
  <c r="V25" i="2"/>
  <c r="M42" i="1"/>
  <c r="M41" i="1"/>
  <c r="K41" i="1"/>
  <c r="N40" i="1"/>
  <c r="N38" i="1"/>
  <c r="K35" i="1"/>
  <c r="M34" i="1"/>
  <c r="V35" i="2"/>
  <c r="T35" i="2"/>
  <c r="S35" i="2"/>
  <c r="K35" i="2"/>
  <c r="M35" i="2" s="1"/>
  <c r="P35" i="2" s="1"/>
  <c r="V34" i="2"/>
  <c r="S34" i="2"/>
  <c r="S33" i="2"/>
  <c r="S31" i="2"/>
  <c r="K31" i="2"/>
  <c r="M31" i="2" s="1"/>
  <c r="P31" i="2" s="1"/>
  <c r="T30" i="2"/>
  <c r="K30" i="2"/>
  <c r="M30" i="2" s="1"/>
  <c r="T29" i="2"/>
  <c r="S27" i="2"/>
  <c r="S25" i="2"/>
  <c r="K43" i="1"/>
  <c r="N42" i="1"/>
  <c r="N39" i="1"/>
  <c r="M38" i="1"/>
  <c r="M36" i="1"/>
  <c r="K34" i="1"/>
  <c r="N33" i="1"/>
  <c r="N31" i="1"/>
  <c r="K33" i="2"/>
  <c r="M33" i="2" s="1"/>
  <c r="P33" i="2" s="1"/>
  <c r="V32" i="2"/>
  <c r="T32" i="2"/>
  <c r="S32" i="2"/>
  <c r="K32" i="2"/>
  <c r="M32" i="2" s="1"/>
  <c r="P32" i="2" s="1"/>
  <c r="U31" i="2"/>
  <c r="S30" i="2"/>
  <c r="P30" i="2"/>
  <c r="V29" i="2"/>
  <c r="T27" i="2"/>
  <c r="K27" i="2"/>
  <c r="M27" i="2" s="1"/>
  <c r="P27" i="2" s="1"/>
  <c r="K26" i="2"/>
  <c r="M26" i="2" s="1"/>
  <c r="P26" i="2" s="1"/>
  <c r="N43" i="1"/>
  <c r="M40" i="1"/>
  <c r="K39" i="1"/>
  <c r="N32" i="1"/>
  <c r="M29" i="1"/>
  <c r="T26" i="2"/>
  <c r="K37" i="1"/>
  <c r="K36" i="1"/>
  <c r="M35" i="1"/>
  <c r="N34" i="1"/>
  <c r="M32" i="1"/>
  <c r="K30" i="1"/>
  <c r="V28" i="2"/>
  <c r="T28" i="2"/>
  <c r="S28" i="2"/>
  <c r="K28" i="2"/>
  <c r="M28" i="2" s="1"/>
  <c r="P28" i="2" s="1"/>
  <c r="B28" i="2"/>
  <c r="B29" i="2" s="1"/>
  <c r="B30" i="2" s="1"/>
  <c r="B31" i="2" s="1"/>
  <c r="B32" i="2" s="1"/>
  <c r="B33" i="2" s="1"/>
  <c r="B34" i="2" s="1"/>
  <c r="B35" i="2" s="1"/>
  <c r="B36" i="2" s="1"/>
  <c r="B37" i="2" s="1"/>
  <c r="B38" i="2" s="1"/>
  <c r="B39" i="2" s="1"/>
  <c r="M43" i="1"/>
  <c r="K42" i="1"/>
  <c r="N41" i="1"/>
  <c r="K38" i="1"/>
  <c r="M33" i="1"/>
  <c r="K32" i="1"/>
  <c r="M31" i="1"/>
  <c r="M30" i="1"/>
  <c r="N29" i="1"/>
  <c r="T25" i="2"/>
  <c r="K40" i="1"/>
  <c r="M39" i="1"/>
  <c r="M37" i="1"/>
  <c r="K33" i="1"/>
  <c r="N30" i="1"/>
  <c r="K29" i="1"/>
  <c r="Q39" i="2" l="1"/>
  <c r="L43" i="1"/>
  <c r="O43" i="1" s="1"/>
  <c r="Q38" i="2"/>
  <c r="L42" i="1"/>
  <c r="O42" i="1" s="1"/>
  <c r="Q29" i="2"/>
  <c r="L33" i="1"/>
  <c r="O33" i="1" s="1"/>
  <c r="Q25" i="2"/>
  <c r="Q37" i="2"/>
  <c r="L41" i="1"/>
  <c r="O41" i="1" s="1"/>
  <c r="W36" i="2"/>
  <c r="X36" i="2"/>
  <c r="Y36" i="2"/>
  <c r="Z36" i="2"/>
  <c r="AA36" i="2"/>
  <c r="AB36" i="2"/>
  <c r="AC36" i="2"/>
  <c r="AD36" i="2"/>
  <c r="AE36" i="2"/>
  <c r="AF36" i="2"/>
  <c r="AN36" i="2"/>
  <c r="AO36" i="2"/>
  <c r="AP36" i="2" s="1"/>
  <c r="AQ36" i="2"/>
  <c r="AR36" i="2"/>
  <c r="AU36" i="2" s="1"/>
  <c r="AS36" i="2"/>
  <c r="BB36" i="2"/>
  <c r="Q36" i="2"/>
  <c r="L40" i="1"/>
  <c r="O40" i="1" s="1"/>
  <c r="Q34" i="2"/>
  <c r="L38" i="1"/>
  <c r="O38" i="1" s="1"/>
  <c r="Q35" i="2"/>
  <c r="L39" i="1"/>
  <c r="O39" i="1" s="1"/>
  <c r="Q31" i="2"/>
  <c r="L35" i="1"/>
  <c r="O35" i="1" s="1"/>
  <c r="Q33" i="2"/>
  <c r="L37" i="1"/>
  <c r="O37" i="1" s="1"/>
  <c r="Q32" i="2"/>
  <c r="L36" i="1"/>
  <c r="O36" i="1" s="1"/>
  <c r="W31" i="2"/>
  <c r="Y31" i="2"/>
  <c r="AN31" i="2"/>
  <c r="AO31" i="2"/>
  <c r="AP31" i="2" s="1"/>
  <c r="AQ31" i="2"/>
  <c r="AR31" i="2"/>
  <c r="AU31" i="2" s="1"/>
  <c r="AS31" i="2"/>
  <c r="BB31" i="2"/>
  <c r="X31" i="2"/>
  <c r="Z31" i="2"/>
  <c r="AB31" i="2"/>
  <c r="AD31" i="2"/>
  <c r="AF31" i="2"/>
  <c r="AA31" i="2"/>
  <c r="AC31" i="2"/>
  <c r="AE31" i="2"/>
  <c r="Q30" i="2"/>
  <c r="L34" i="1"/>
  <c r="O34" i="1" s="1"/>
  <c r="L31" i="1"/>
  <c r="O31" i="1" s="1"/>
  <c r="Q27" i="2"/>
  <c r="Q26" i="2"/>
  <c r="L30" i="1"/>
  <c r="O30" i="1" s="1"/>
  <c r="Q28" i="2"/>
  <c r="L32" i="1"/>
  <c r="O32" i="1" s="1"/>
  <c r="U39" i="2"/>
  <c r="U38" i="2"/>
  <c r="U30" i="2"/>
  <c r="U37" i="2"/>
  <c r="G46" i="1"/>
  <c r="H48" i="1" s="1"/>
  <c r="U28" i="2"/>
  <c r="U34" i="2"/>
  <c r="U32" i="2"/>
  <c r="L29" i="1"/>
  <c r="O29" i="1" s="1"/>
  <c r="U35" i="2"/>
  <c r="U33" i="2"/>
  <c r="U29" i="2"/>
  <c r="U26" i="2"/>
  <c r="U25" i="2"/>
  <c r="U27" i="2"/>
  <c r="BB39" i="2" l="1"/>
  <c r="AS39" i="2"/>
  <c r="AR39" i="2"/>
  <c r="AU39" i="2" s="1"/>
  <c r="AO39" i="2"/>
  <c r="AP39" i="2" s="1"/>
  <c r="AN39" i="2"/>
  <c r="AF39" i="2"/>
  <c r="AE39" i="2"/>
  <c r="AD39" i="2"/>
  <c r="AC39" i="2"/>
  <c r="AB39" i="2"/>
  <c r="AA39" i="2"/>
  <c r="Z39" i="2"/>
  <c r="Y39" i="2"/>
  <c r="X39" i="2"/>
  <c r="AH39" i="2" s="1"/>
  <c r="AX39" i="2" s="1"/>
  <c r="F39" i="2" s="1"/>
  <c r="W39" i="2"/>
  <c r="AG39" i="2" s="1"/>
  <c r="BB38" i="2"/>
  <c r="AS38" i="2"/>
  <c r="AR38" i="2"/>
  <c r="AU38" i="2" s="1"/>
  <c r="AO38" i="2"/>
  <c r="AP38" i="2" s="1"/>
  <c r="AN38" i="2"/>
  <c r="AF38" i="2"/>
  <c r="AE38" i="2"/>
  <c r="AD38" i="2"/>
  <c r="AC38" i="2"/>
  <c r="AB38" i="2"/>
  <c r="AA38" i="2"/>
  <c r="Z38" i="2"/>
  <c r="Y38" i="2"/>
  <c r="X38" i="2"/>
  <c r="AH38" i="2" s="1"/>
  <c r="AX38" i="2" s="1"/>
  <c r="F38" i="2" s="1"/>
  <c r="W38" i="2"/>
  <c r="AG38" i="2" s="1"/>
  <c r="BB30" i="2"/>
  <c r="AS30" i="2"/>
  <c r="AR30" i="2"/>
  <c r="AU30" i="2" s="1"/>
  <c r="AF30" i="2"/>
  <c r="AE30" i="2"/>
  <c r="AD30" i="2"/>
  <c r="AC30" i="2"/>
  <c r="AB30" i="2"/>
  <c r="AA30" i="2"/>
  <c r="Z30" i="2"/>
  <c r="W30" i="2"/>
  <c r="AO30" i="2"/>
  <c r="AP30" i="2" s="1"/>
  <c r="AN30" i="2"/>
  <c r="Y30" i="2"/>
  <c r="X30" i="2"/>
  <c r="AH30" i="2" s="1"/>
  <c r="AX30" i="2" s="1"/>
  <c r="F30" i="2" s="1"/>
  <c r="BB37" i="2"/>
  <c r="AS37" i="2"/>
  <c r="AR37" i="2"/>
  <c r="AU37" i="2" s="1"/>
  <c r="AO37" i="2"/>
  <c r="AP37" i="2" s="1"/>
  <c r="AN37" i="2"/>
  <c r="AF37" i="2"/>
  <c r="AE37" i="2"/>
  <c r="AD37" i="2"/>
  <c r="AC37" i="2"/>
  <c r="AB37" i="2"/>
  <c r="AA37" i="2"/>
  <c r="Z37" i="2"/>
  <c r="Y37" i="2"/>
  <c r="X37" i="2"/>
  <c r="AH37" i="2" s="1"/>
  <c r="W37" i="2"/>
  <c r="AG37" i="2" s="1"/>
  <c r="BB28" i="2"/>
  <c r="AB28" i="2"/>
  <c r="Z28" i="2"/>
  <c r="X28" i="2"/>
  <c r="AH28" i="2" s="1"/>
  <c r="AF28" i="2"/>
  <c r="AE28" i="2"/>
  <c r="AD28" i="2"/>
  <c r="AC28" i="2"/>
  <c r="AA28" i="2"/>
  <c r="Y28" i="2"/>
  <c r="AS28" i="2"/>
  <c r="AR28" i="2"/>
  <c r="AU28" i="2" s="1"/>
  <c r="AO28" i="2"/>
  <c r="AP28" i="2" s="1"/>
  <c r="AN28" i="2"/>
  <c r="W28" i="2"/>
  <c r="AG28" i="2" s="1"/>
  <c r="BB34" i="2"/>
  <c r="AS34" i="2"/>
  <c r="AR34" i="2"/>
  <c r="AU34" i="2" s="1"/>
  <c r="AO34" i="2"/>
  <c r="AP34" i="2" s="1"/>
  <c r="AN34" i="2"/>
  <c r="AF34" i="2"/>
  <c r="AE34" i="2"/>
  <c r="AD34" i="2"/>
  <c r="AC34" i="2"/>
  <c r="AB34" i="2"/>
  <c r="AA34" i="2"/>
  <c r="Z34" i="2"/>
  <c r="Y34" i="2"/>
  <c r="X34" i="2"/>
  <c r="AH34" i="2" s="1"/>
  <c r="W34" i="2"/>
  <c r="AG34" i="2" s="1"/>
  <c r="BB32" i="2"/>
  <c r="AS32" i="2"/>
  <c r="AR32" i="2"/>
  <c r="AU32" i="2" s="1"/>
  <c r="AO32" i="2"/>
  <c r="AP32" i="2" s="1"/>
  <c r="AN32" i="2"/>
  <c r="AF32" i="2"/>
  <c r="AE32" i="2"/>
  <c r="AD32" i="2"/>
  <c r="AC32" i="2"/>
  <c r="AB32" i="2"/>
  <c r="AA32" i="2"/>
  <c r="Z32" i="2"/>
  <c r="Y32" i="2"/>
  <c r="X32" i="2"/>
  <c r="AH32" i="2" s="1"/>
  <c r="AX32" i="2" s="1"/>
  <c r="F32" i="2" s="1"/>
  <c r="W32" i="2"/>
  <c r="AF35" i="2"/>
  <c r="AD35" i="2"/>
  <c r="AC35" i="2"/>
  <c r="AA35" i="2"/>
  <c r="BB35" i="2"/>
  <c r="AS35" i="2"/>
  <c r="AR35" i="2"/>
  <c r="AU35" i="2" s="1"/>
  <c r="AO35" i="2"/>
  <c r="AP35" i="2" s="1"/>
  <c r="AN35" i="2"/>
  <c r="AE35" i="2"/>
  <c r="AB35" i="2"/>
  <c r="Z35" i="2"/>
  <c r="Y35" i="2"/>
  <c r="X35" i="2"/>
  <c r="AH35" i="2" s="1"/>
  <c r="AX35" i="2" s="1"/>
  <c r="F35" i="2" s="1"/>
  <c r="W35" i="2"/>
  <c r="AG35" i="2" s="1"/>
  <c r="AS33" i="2"/>
  <c r="AR33" i="2"/>
  <c r="AU33" i="2" s="1"/>
  <c r="AO33" i="2"/>
  <c r="AP33" i="2" s="1"/>
  <c r="AN33" i="2"/>
  <c r="AF33" i="2"/>
  <c r="AE33" i="2"/>
  <c r="AD33" i="2"/>
  <c r="AC33" i="2"/>
  <c r="AB33" i="2"/>
  <c r="AA33" i="2"/>
  <c r="Z33" i="2"/>
  <c r="Y33" i="2"/>
  <c r="X33" i="2"/>
  <c r="W33" i="2"/>
  <c r="BB33" i="2"/>
  <c r="AS29" i="2"/>
  <c r="AR29" i="2"/>
  <c r="AU29" i="2" s="1"/>
  <c r="AO29" i="2"/>
  <c r="AP29" i="2" s="1"/>
  <c r="AN29" i="2"/>
  <c r="AF29" i="2"/>
  <c r="AC29" i="2"/>
  <c r="AA29" i="2"/>
  <c r="Y29" i="2"/>
  <c r="BB29" i="2"/>
  <c r="AE29" i="2"/>
  <c r="AD29" i="2"/>
  <c r="AB29" i="2"/>
  <c r="Z29" i="2"/>
  <c r="X29" i="2"/>
  <c r="AH29" i="2" s="1"/>
  <c r="AX29" i="2" s="1"/>
  <c r="F29" i="2" s="1"/>
  <c r="W29" i="2"/>
  <c r="AG29" i="2" s="1"/>
  <c r="AS26" i="2"/>
  <c r="AO26" i="2"/>
  <c r="AP26" i="2" s="1"/>
  <c r="W26" i="2"/>
  <c r="AD26" i="2"/>
  <c r="Y26" i="2"/>
  <c r="BB26" i="2"/>
  <c r="AF26" i="2"/>
  <c r="AE26" i="2"/>
  <c r="AB26" i="2"/>
  <c r="Z26" i="2"/>
  <c r="AR26" i="2"/>
  <c r="AU26" i="2" s="1"/>
  <c r="AN26" i="2"/>
  <c r="AA26" i="2"/>
  <c r="AC26" i="2"/>
  <c r="X26" i="2"/>
  <c r="AH26" i="2" s="1"/>
  <c r="AX26" i="2" s="1"/>
  <c r="F26" i="2" s="1"/>
  <c r="BB25" i="2"/>
  <c r="AS25" i="2"/>
  <c r="AR25" i="2"/>
  <c r="AU25" i="2" s="1"/>
  <c r="AO25" i="2"/>
  <c r="AP25" i="2" s="1"/>
  <c r="AN25" i="2"/>
  <c r="W25" i="2"/>
  <c r="AD25" i="2"/>
  <c r="AC25" i="2"/>
  <c r="AE25" i="2"/>
  <c r="AA25" i="2"/>
  <c r="X25" i="2"/>
  <c r="AH25" i="2" s="1"/>
  <c r="AX25" i="2" s="1"/>
  <c r="Z25" i="2"/>
  <c r="AF25" i="2"/>
  <c r="AB25" i="2"/>
  <c r="Y25" i="2"/>
  <c r="AN27" i="2"/>
  <c r="BB27" i="2"/>
  <c r="AB27" i="2"/>
  <c r="AR27" i="2"/>
  <c r="AU27" i="2" s="1"/>
  <c r="AO27" i="2"/>
  <c r="AP27" i="2" s="1"/>
  <c r="AF27" i="2"/>
  <c r="AE27" i="2"/>
  <c r="AD27" i="2"/>
  <c r="AS27" i="2"/>
  <c r="AC27" i="2"/>
  <c r="AA27" i="2"/>
  <c r="Z27" i="2"/>
  <c r="Y27" i="2"/>
  <c r="X27" i="2"/>
  <c r="AH27" i="2" s="1"/>
  <c r="AX27" i="2" s="1"/>
  <c r="F27" i="2" s="1"/>
  <c r="W27" i="2"/>
  <c r="AG27" i="2" s="1"/>
  <c r="AT36" i="2"/>
  <c r="AG31" i="2"/>
  <c r="AT31" i="2"/>
  <c r="AH31" i="2"/>
  <c r="AX31" i="2" s="1"/>
  <c r="F31" i="2" s="1"/>
  <c r="O46" i="1"/>
  <c r="AG36" i="2"/>
  <c r="AW36" i="2" s="1"/>
  <c r="AH36" i="2"/>
  <c r="AX36" i="2" s="1"/>
  <c r="F36" i="2" s="1"/>
  <c r="F25" i="2" l="1"/>
  <c r="AQ37" i="2"/>
  <c r="AT37" i="2" s="1"/>
  <c r="AW37" i="2" s="1"/>
  <c r="AQ28" i="2"/>
  <c r="AT28" i="2" s="1"/>
  <c r="AW28" i="2" s="1"/>
  <c r="AX37" i="2"/>
  <c r="F37" i="2" s="1"/>
  <c r="AX28" i="2"/>
  <c r="F28" i="2" s="1"/>
  <c r="AQ34" i="2"/>
  <c r="AT34" i="2" s="1"/>
  <c r="AW34" i="2" s="1"/>
  <c r="AX34" i="2"/>
  <c r="F34" i="2" s="1"/>
  <c r="AQ32" i="2"/>
  <c r="AT32" i="2" s="1"/>
  <c r="AQ35" i="2"/>
  <c r="AT35" i="2" s="1"/>
  <c r="AW35" i="2" s="1"/>
  <c r="AG32" i="2"/>
  <c r="AW32" i="2" s="1"/>
  <c r="AH33" i="2"/>
  <c r="AX33" i="2" s="1"/>
  <c r="F33" i="2" s="1"/>
  <c r="AG33" i="2"/>
  <c r="AW33" i="2" s="1"/>
  <c r="AQ29" i="2"/>
  <c r="AT29" i="2" s="1"/>
  <c r="AW29" i="2" s="1"/>
  <c r="AQ26" i="2"/>
  <c r="AT26" i="2" s="1"/>
  <c r="AG26" i="2"/>
  <c r="AW26" i="2" s="1"/>
  <c r="BB42" i="2"/>
  <c r="E42" i="2" s="1"/>
  <c r="AQ25" i="2"/>
  <c r="AT25" i="2" s="1"/>
  <c r="AG25" i="2"/>
  <c r="AW31" i="2"/>
  <c r="AQ39" i="2"/>
  <c r="AT39" i="2" s="1"/>
  <c r="AW39" i="2" s="1"/>
  <c r="AQ38" i="2"/>
  <c r="AT38" i="2" s="1"/>
  <c r="AW38" i="2" s="1"/>
  <c r="AQ30" i="2"/>
  <c r="AT30" i="2" s="1"/>
  <c r="AG30" i="2"/>
  <c r="AQ33" i="2"/>
  <c r="AT33" i="2" s="1"/>
  <c r="AQ27" i="2"/>
  <c r="AT27" i="2" s="1"/>
  <c r="AW27" i="2" s="1"/>
  <c r="AX42" i="2" l="1"/>
  <c r="AW25" i="2"/>
  <c r="AW30" i="2"/>
  <c r="AW42" i="2" l="1"/>
  <c r="AX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28" authorId="0" shapeId="0" xr:uid="{00000000-0006-0000-0000-000001000000}">
      <text>
        <r>
          <rPr>
            <sz val="11"/>
            <color theme="1"/>
            <rFont val="Trebuchet MS"/>
            <family val="2"/>
            <scheme val="minor"/>
          </rPr>
          <t xml:space="preserve">Se utiliza para calcular las aportaciones al IMSS e Infonavit. 
Incluye el salario diario y otras percepciones como primas y comisiones. </t>
        </r>
      </text>
    </comment>
    <comment ref="J28" authorId="0" shapeId="0" xr:uid="{00000000-0006-0000-0000-000002000000}">
      <text>
        <r>
          <rPr>
            <sz val="11"/>
            <color theme="1"/>
            <rFont val="Trebuchet MS"/>
            <family val="2"/>
            <scheme val="minor"/>
          </rPr>
          <t xml:space="preserve">El descuento por un crédito Infonavit en la nómina es la retención mensual o quincenal para cubrir la amortización del préstamo, la cual generalmente no debe superar el 30% del salario neto del trabajador.
</t>
        </r>
      </text>
    </comment>
    <comment ref="K28" authorId="0" shapeId="0" xr:uid="{00000000-0006-0000-0000-000003000000}">
      <text>
        <r>
          <rPr>
            <sz val="11"/>
            <color theme="1"/>
            <rFont val="Trebuchet MS"/>
            <family val="2"/>
            <scheme val="minor"/>
          </rPr>
          <t xml:space="preserve">Para estimar un aproximado en las deducciones al IMSS, suma todos los porcentajes que se retienen de la nómina y multiplicarlos por los días trabajados.
Según la Ley del Seguro Social (LSS) en su Artículo 36, cuando un empleado percibe el salario mínimo, es el patrón quien debe pagar íntegramente la totalidad de las cuotas obrero-patronales (tanto la parte que le corresponde como patrón, como la que normalmente pagaría el trabajador). 
.
</t>
        </r>
      </text>
    </comment>
    <comment ref="L28" authorId="0" shapeId="0" xr:uid="{00000000-0006-0000-0000-000004000000}">
      <text>
        <r>
          <rPr>
            <sz val="11"/>
            <color theme="1"/>
            <rFont val="Trebuchet MS"/>
            <family val="2"/>
            <scheme val="minor"/>
          </rPr>
          <t xml:space="preserve">El artículo 96 de la Ley del ISR (LISR) indica que no se efectuará retención para las personas que en el mes únicamente perciban un salario mínimo general correspondiente al área geográfica del contribuyente. 
</t>
        </r>
      </text>
    </comment>
    <comment ref="M28" authorId="0" shapeId="0" xr:uid="{00000000-0006-0000-0000-000005000000}">
      <text>
        <r>
          <rPr>
            <sz val="11"/>
            <color theme="1"/>
            <rFont val="Trebuchet MS"/>
            <family val="2"/>
            <scheme val="minor"/>
          </rPr>
          <t xml:space="preserve">Este espacio te sirve para determinar los descuentos por el crédito de una casa a tus colaboradores. 
Como ejemplo un  20%.
 </t>
        </r>
      </text>
    </comment>
    <comment ref="N28" authorId="0" shapeId="0" xr:uid="{00000000-0006-0000-0000-000006000000}">
      <text>
        <r>
          <rPr>
            <sz val="11"/>
            <color theme="1"/>
            <rFont val="Trebuchet MS"/>
            <family val="2"/>
            <scheme val="minor"/>
          </rPr>
          <t xml:space="preserve">El fondo de ahorro no es una cantidad fija pero si depende de dos límites: el 13% del salario del trabajador y el 1.3 veces el valor anual de la UMA. Tu aportación como patrón no debe exceder ninguna de estas dos cantidade anuales . Para este ejemplo utilizaremos un 2%.
</t>
        </r>
      </text>
    </comment>
    <comment ref="I52" authorId="0" shapeId="0" xr:uid="{00000000-0006-0000-0000-000007000000}">
      <text>
        <r>
          <rPr>
            <sz val="11"/>
            <color theme="1"/>
            <rFont val="Trebuchet MS"/>
            <family val="2"/>
            <scheme val="minor"/>
          </rPr>
          <t>Los nombres y firmas revisan el resultado obtenido.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Z22" authorId="0" shapeId="0" xr:uid="{00000000-0006-0000-0100-000001000000}">
      <text>
        <r>
          <rPr>
            <sz val="11"/>
            <color theme="1"/>
            <rFont val="Trebuchet MS"/>
            <family val="2"/>
            <scheme val="minor"/>
          </rPr>
          <t xml:space="preserve">El fondo de ahorro que la empresa ofrece al trabajador se considera prestación de previsión social y son excentos siempre y cuando no superen el 13% del sueldo anual del trabajador además tiene que cumplir con los requisitos:
Ser general para todos los trabajadores.
No permitir retiros más de una vez  al año.
Aportación igual o menor a la del empleado.
</t>
        </r>
      </text>
    </comment>
    <comment ref="U24" authorId="0" shapeId="0" xr:uid="{00000000-0006-0000-0100-000002000000}">
      <text>
        <r>
          <rPr>
            <sz val="11"/>
            <color theme="1"/>
            <rFont val="Trebuchet MS"/>
            <family val="2"/>
            <scheme val="minor"/>
          </rPr>
          <t xml:space="preserve">
De acuerdo al art. 36 de la LSS y al artículo 97 de la LFT.
Si tu trabajador percibe el salario mínimo es importante que sepas que no se le debe descontar la cuota del IMSS, en cambio tú debes cubrirlas en su totalidad. 
</t>
        </r>
      </text>
    </comment>
  </commentList>
</comments>
</file>

<file path=xl/sharedStrings.xml><?xml version="1.0" encoding="utf-8"?>
<sst xmlns="http://schemas.openxmlformats.org/spreadsheetml/2006/main" count="314" uniqueCount="176">
  <si>
    <t xml:space="preserve">NÓMINA </t>
  </si>
  <si>
    <t>Instrucciones en celda: captura los datos de tu equipo para conocer al instante el sueldo final. que recibirá cada trabajador.</t>
  </si>
  <si>
    <t>editar valores</t>
  </si>
  <si>
    <t>campos protegidos</t>
  </si>
  <si>
    <t>Tabla factor de intregración</t>
  </si>
  <si>
    <t>TABLA DE DATOS</t>
  </si>
  <si>
    <t>Datos 2026</t>
  </si>
  <si>
    <t>Años</t>
  </si>
  <si>
    <t xml:space="preserve">Factor de integración </t>
  </si>
  <si>
    <t>Límite superior</t>
  </si>
  <si>
    <t>Cuota fija</t>
  </si>
  <si>
    <t>% para aplicarse sobre el excedente del límite inferior</t>
  </si>
  <si>
    <t>Salario base de cotización del trabajador</t>
  </si>
  <si>
    <t>Tabla de Incremento Anual de la Cuota Patronal de Cesantía en Edad Avanzada y Vejez (2023-2030)</t>
  </si>
  <si>
    <t>SBC 2025 mínimo</t>
  </si>
  <si>
    <t>Tabla bimestral</t>
  </si>
  <si>
    <t>Valor de UMA 2025</t>
  </si>
  <si>
    <t>Tabla nivel de riesgo</t>
  </si>
  <si>
    <t>Bimestre</t>
  </si>
  <si>
    <t>Días de los bimestres</t>
  </si>
  <si>
    <t>SM *</t>
  </si>
  <si>
    <t>3 veces el valor UMA</t>
  </si>
  <si>
    <t>De acuerdo con su siniestralidad</t>
  </si>
  <si>
    <t>Enero-Febrero</t>
  </si>
  <si>
    <t xml:space="preserve"> SM a UMA**</t>
  </si>
  <si>
    <t>Días en nómina</t>
  </si>
  <si>
    <t>Prima media</t>
  </si>
  <si>
    <t>%</t>
  </si>
  <si>
    <t>Marzo-Abril</t>
  </si>
  <si>
    <t xml:space="preserve"> UMA</t>
  </si>
  <si>
    <t xml:space="preserve">Prima vacacional </t>
  </si>
  <si>
    <t>CLASE 1</t>
  </si>
  <si>
    <t>Mayo-Junio</t>
  </si>
  <si>
    <t>Dias de trabajo</t>
  </si>
  <si>
    <t>6 a 10</t>
  </si>
  <si>
    <t>CLASE 2</t>
  </si>
  <si>
    <t>Julio-Agosto</t>
  </si>
  <si>
    <t>Dias de descanso</t>
  </si>
  <si>
    <t>11 a 15</t>
  </si>
  <si>
    <t>CLASE 3</t>
  </si>
  <si>
    <t>Septiembre-Octubre</t>
  </si>
  <si>
    <t>Dias de aguinaldo</t>
  </si>
  <si>
    <t>16 a 20</t>
  </si>
  <si>
    <t>CLASE 4</t>
  </si>
  <si>
    <t>Noviembre-Diciembre</t>
  </si>
  <si>
    <t xml:space="preserve">21 a 25 </t>
  </si>
  <si>
    <t>CLASE 5</t>
  </si>
  <si>
    <t>En adelante</t>
  </si>
  <si>
    <t xml:space="preserve">  UMA </t>
  </si>
  <si>
    <t>26 a 30</t>
  </si>
  <si>
    <t>31 a 35</t>
  </si>
  <si>
    <t>Cuotas bimestrales</t>
  </si>
  <si>
    <t>Fecha</t>
  </si>
  <si>
    <t>Mensual</t>
  </si>
  <si>
    <t xml:space="preserve">Del </t>
  </si>
  <si>
    <t>Límite inferior</t>
  </si>
  <si>
    <t>Cuota</t>
  </si>
  <si>
    <t>Tasa</t>
  </si>
  <si>
    <t xml:space="preserve">Al </t>
  </si>
  <si>
    <t>La suma parcial de todos los seguros para el trabajador es</t>
  </si>
  <si>
    <t>Datos básicos</t>
  </si>
  <si>
    <t xml:space="preserve">Percepciones </t>
  </si>
  <si>
    <t>Deducciones</t>
  </si>
  <si>
    <t>Sueldo neto</t>
  </si>
  <si>
    <t>En caso de aplicar</t>
  </si>
  <si>
    <t>#</t>
  </si>
  <si>
    <t>Nombre</t>
  </si>
  <si>
    <t>Puesto</t>
  </si>
  <si>
    <t>Faltas</t>
  </si>
  <si>
    <t>Días de paga</t>
  </si>
  <si>
    <t>% de ahorro del empleado</t>
  </si>
  <si>
    <t>Sueldo</t>
  </si>
  <si>
    <t xml:space="preserve">Salario Base de Cotización </t>
  </si>
  <si>
    <t>Crédito de vivienda (INFONAVIT)</t>
  </si>
  <si>
    <t>IMSS</t>
  </si>
  <si>
    <t>ISR</t>
  </si>
  <si>
    <t>INFONAVIT</t>
  </si>
  <si>
    <t>FONDO DE AHORRO</t>
  </si>
  <si>
    <t>cocinera</t>
  </si>
  <si>
    <t>SI</t>
  </si>
  <si>
    <t>mesera</t>
  </si>
  <si>
    <t>cajera</t>
  </si>
  <si>
    <t>NO</t>
  </si>
  <si>
    <t>Tarifa aplicable sobre la nómina que varía dependiendo del Estado</t>
  </si>
  <si>
    <t>Aportación patronal en fondo de ahorro</t>
  </si>
  <si>
    <t>Sueldos</t>
  </si>
  <si>
    <t>Total</t>
  </si>
  <si>
    <t>Total de sueldos netos</t>
  </si>
  <si>
    <t>Aguascalientes 2%</t>
  </si>
  <si>
    <t>Baja California 1.8%</t>
  </si>
  <si>
    <t>Costos de nómina</t>
  </si>
  <si>
    <t>Baja California Sur 2.5%</t>
  </si>
  <si>
    <t>Campeche 3%</t>
  </si>
  <si>
    <t>Coahuila 2%</t>
  </si>
  <si>
    <t>Colima 2%</t>
  </si>
  <si>
    <t>Chiapas 2%</t>
  </si>
  <si>
    <t>Chihuahua 4%</t>
  </si>
  <si>
    <t>Ciudad de México 4%</t>
  </si>
  <si>
    <t>Durango 2% </t>
  </si>
  <si>
    <t>Guerrero 2%</t>
  </si>
  <si>
    <t>Guanajuato 3%</t>
  </si>
  <si>
    <t>Hidalgo 2.5% al 3%</t>
  </si>
  <si>
    <t>Jalisco 2% al 2.5%</t>
  </si>
  <si>
    <t>Estado de México 3%</t>
  </si>
  <si>
    <t>Michoacán 3%</t>
  </si>
  <si>
    <t>Morelos 2%</t>
  </si>
  <si>
    <t>Nayarit 3%</t>
  </si>
  <si>
    <t>Nuevo León 3%</t>
  </si>
  <si>
    <t>Oaxaca 3%</t>
  </si>
  <si>
    <t>Puebla 3%</t>
  </si>
  <si>
    <t>Querétaro 3%</t>
  </si>
  <si>
    <t>Quintana Roo 3%</t>
  </si>
  <si>
    <t>San Luis Potosí 3%</t>
  </si>
  <si>
    <t>Sinaloa del 2.4% al 3%</t>
  </si>
  <si>
    <t>Sonora 1% y 2%</t>
  </si>
  <si>
    <t>Tabasco 2.5% y 3%</t>
  </si>
  <si>
    <t>Tamaulipas 3%</t>
  </si>
  <si>
    <t>Tlaxcala 3%</t>
  </si>
  <si>
    <t>Veracruz 3%</t>
  </si>
  <si>
    <t>Yucatán 3%</t>
  </si>
  <si>
    <t>Zacatecas 3%</t>
  </si>
  <si>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</si>
  <si>
    <t>CUOTAS PATRONALES</t>
  </si>
  <si>
    <t>Instrucciones en celda: calcula las cuotas de seguridad social de cada empleado ingresando su información salarial.</t>
  </si>
  <si>
    <t>Tabla para el cálculo de ISR</t>
  </si>
  <si>
    <t>Descripción</t>
  </si>
  <si>
    <t>mínimo</t>
  </si>
  <si>
    <t>bajo</t>
  </si>
  <si>
    <t>medio</t>
  </si>
  <si>
    <t xml:space="preserve"> alto</t>
  </si>
  <si>
    <t>máximo</t>
  </si>
  <si>
    <t>Periodicidad</t>
  </si>
  <si>
    <t>Riesgo de trabajo</t>
  </si>
  <si>
    <t>Cálculos autómaticos</t>
  </si>
  <si>
    <t xml:space="preserve">Excedente </t>
  </si>
  <si>
    <t xml:space="preserve">Prestaciones en dinero </t>
  </si>
  <si>
    <t>Gastos médicos</t>
  </si>
  <si>
    <t>Ver clasificación</t>
  </si>
  <si>
    <t>Inválidez y vida</t>
  </si>
  <si>
    <t>Guarderías y prestaciones sociales</t>
  </si>
  <si>
    <t>TOTAL DE CUOTAS MENSUALES</t>
  </si>
  <si>
    <t>Incapacidad</t>
  </si>
  <si>
    <t>Retiro</t>
  </si>
  <si>
    <t>Cesantía y vejez</t>
  </si>
  <si>
    <t>Infonavit</t>
  </si>
  <si>
    <t>TOTAL DE CUOTAS QUE SE ENTREGAN BIMESTRALMENTE</t>
  </si>
  <si>
    <t>TOTAL FINAL DE TRABAJADOR Y PATRÓN</t>
  </si>
  <si>
    <t>Previsión social no salarial✓</t>
  </si>
  <si>
    <t>Selecciona</t>
  </si>
  <si>
    <t>Ver tabla de incremento</t>
  </si>
  <si>
    <t>Sueldo bruto</t>
  </si>
  <si>
    <t>Salario neto</t>
  </si>
  <si>
    <t>Días de trabajo</t>
  </si>
  <si>
    <t>Días de falta</t>
  </si>
  <si>
    <t>Días de incapacidad</t>
  </si>
  <si>
    <t>Límite inf</t>
  </si>
  <si>
    <t>Excedente</t>
  </si>
  <si>
    <t>Impuesto mensual</t>
  </si>
  <si>
    <t>I.S.R.quincenal</t>
  </si>
  <si>
    <t>Salario diario</t>
  </si>
  <si>
    <t>Prima vacacional</t>
  </si>
  <si>
    <t>Aguinaldo</t>
  </si>
  <si>
    <t>Salario base de cotización</t>
  </si>
  <si>
    <t>Patronal</t>
  </si>
  <si>
    <t>Trabajador</t>
  </si>
  <si>
    <t xml:space="preserve">Patronal </t>
  </si>
  <si>
    <t xml:space="preserve">Trabajador </t>
  </si>
  <si>
    <t>SBC en UMAS</t>
  </si>
  <si>
    <t>Año 2026</t>
  </si>
  <si>
    <t>Empleado</t>
  </si>
  <si>
    <t>% de ahorro patrón ✓</t>
  </si>
  <si>
    <t>Fondo de ahorro</t>
  </si>
  <si>
    <t>Alejandra</t>
  </si>
  <si>
    <t>Total de salarios</t>
  </si>
  <si>
    <t>SUMA</t>
  </si>
  <si>
    <t xml:space="preserve">TOTAL A PAGAR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</si>
</sst>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000"/>
    <numFmt numFmtId="165" formatCode="0.0000%"/>
    <numFmt numFmtId="166" formatCode="_-[$$-80A]* #,##0.00_-;\-[$$-80A]* #,##0.00_-;_-[$$-80A]* &quot;-&quot;??_-;_-@_-"/>
    <numFmt numFmtId="167" formatCode="&quot;$&quot;#,##0.00"/>
    <numFmt numFmtId="168" formatCode="0.0"/>
    <numFmt numFmtId="169" formatCode="_-[$$-80A]* #,##0.00000_-;\-[$$-80A]* #,##0.00000_-;_-[$$-80A]* &quot;-&quot;??_-;_-@_-"/>
    <numFmt numFmtId="170" formatCode="_-* #,##0.00\ &quot;€&quot;_-;\-* #,##0.00\ &quot;€&quot;_-;_-* &quot;-&quot;??\ &quot;€&quot;_-;_-@_-"/>
    <numFmt numFmtId="171" formatCode="_-&quot;$&quot;* #,##0.00_-;\-&quot;$&quot;* #,##0.00_-;_-&quot;$&quot;* &quot;-&quot;??_-;_-@_-"/>
  </numFmts>
  <fonts count="74">
    <font>
      <sz val="11"/>
      <color theme="1"/>
      <name val="Trebuchet MS"/>
      <family val="2"/>
      <scheme val="minor"/>
    </font>
    <font>
      <sz val="11"/>
      <color theme="1"/>
      <name val="Aptos"/>
      <family val="2"/>
    </font>
    <font>
      <sz val="11"/>
      <color theme="1" tint="4.9989318521683403E-2"/>
      <name val="Aptos"/>
      <family val="2"/>
    </font>
    <font>
      <b/>
      <sz val="11"/>
      <color theme="0"/>
      <name val="Trebuchet MS"/>
      <family val="1"/>
      <scheme val="major"/>
    </font>
    <font>
      <sz val="11"/>
      <name val="Trebuchet MS"/>
      <family val="2"/>
      <scheme val="minor"/>
    </font>
    <font>
      <b/>
      <sz val="14"/>
      <color theme="1" tint="4.9989318521683403E-2"/>
      <name val="Trebuchet MS"/>
      <family val="2"/>
      <scheme val="minor"/>
    </font>
    <font>
      <sz val="11"/>
      <color theme="0"/>
      <name val="Trebuchet MS"/>
      <family val="1"/>
      <scheme val="minor"/>
    </font>
    <font>
      <sz val="11"/>
      <color theme="1"/>
      <name val="Trebuchet MS"/>
      <family val="1"/>
      <scheme val="minor"/>
    </font>
    <font>
      <sz val="11"/>
      <color theme="1"/>
      <name val="Trebuchet MS"/>
      <family val="2"/>
      <scheme val="minor"/>
    </font>
    <font>
      <sz val="11"/>
      <color theme="1"/>
      <name val="Montserrat"/>
    </font>
    <font>
      <b/>
      <sz val="36"/>
      <color theme="1"/>
      <name val="Montserrat"/>
    </font>
    <font>
      <sz val="12"/>
      <color theme="1"/>
      <name val="Trebuchet MS"/>
      <family val="2"/>
      <scheme val="minor"/>
    </font>
    <font>
      <b/>
      <sz val="26"/>
      <color theme="1"/>
      <name val="Montserrat"/>
    </font>
    <font>
      <sz val="36"/>
      <color theme="1"/>
      <name val="Montserrat"/>
    </font>
    <font>
      <b/>
      <sz val="36"/>
      <color theme="0"/>
      <name val="Montserrat"/>
    </font>
    <font>
      <sz val="48"/>
      <color theme="1"/>
      <name val="Montserrat"/>
    </font>
    <font>
      <b/>
      <sz val="48"/>
      <color theme="1"/>
      <name val="Montserrat"/>
    </font>
    <font>
      <b/>
      <sz val="30"/>
      <color theme="0"/>
      <name val="Montserrat"/>
    </font>
    <font>
      <b/>
      <sz val="30"/>
      <color theme="1"/>
      <name val="Montserrat"/>
    </font>
    <font>
      <sz val="30"/>
      <color theme="1"/>
      <name val="Montserrat"/>
    </font>
    <font>
      <sz val="28"/>
      <color theme="1"/>
      <name val="Montserrat"/>
    </font>
    <font>
      <sz val="28"/>
      <color theme="1"/>
      <name val="Trebuchet MS"/>
      <family val="1"/>
      <scheme val="minor"/>
    </font>
    <font>
      <b/>
      <sz val="30"/>
      <name val="Montserrat"/>
    </font>
    <font>
      <b/>
      <sz val="48"/>
      <color theme="0"/>
      <name val="Montserrat"/>
    </font>
    <font>
      <sz val="48"/>
      <color theme="1"/>
      <name val="Trebuchet MS"/>
      <family val="1"/>
      <scheme val="minor"/>
    </font>
    <font>
      <b/>
      <sz val="36"/>
      <color rgb="FF000000"/>
      <name val="Montserrat"/>
    </font>
    <font>
      <sz val="20"/>
      <color rgb="FF000000"/>
      <name val="Poppins"/>
    </font>
    <font>
      <sz val="20"/>
      <color theme="1"/>
      <name val="Poppins"/>
    </font>
    <font>
      <sz val="20"/>
      <color theme="1"/>
      <name val="Trebuchet MS"/>
      <family val="1"/>
      <scheme val="minor"/>
    </font>
    <font>
      <b/>
      <sz val="20"/>
      <color rgb="FF000000"/>
      <name val="Poppins"/>
    </font>
    <font>
      <i/>
      <sz val="48"/>
      <color theme="1"/>
      <name val="Montserrat"/>
    </font>
    <font>
      <sz val="20"/>
      <color theme="1"/>
      <name val="Pppins"/>
    </font>
    <font>
      <sz val="20"/>
      <color rgb="FF000000"/>
      <name val="Pppins"/>
    </font>
    <font>
      <b/>
      <sz val="20"/>
      <color rgb="FF000000"/>
      <name val="Pppins"/>
    </font>
    <font>
      <b/>
      <sz val="28"/>
      <color theme="1"/>
      <name val="Poppins"/>
    </font>
    <font>
      <b/>
      <sz val="36"/>
      <color theme="1"/>
      <name val="Poppins"/>
    </font>
    <font>
      <b/>
      <sz val="36"/>
      <color rgb="FF000000"/>
      <name val="Pppins"/>
    </font>
    <font>
      <b/>
      <sz val="36"/>
      <color rgb="FF000000"/>
      <name val="Poppins"/>
    </font>
    <font>
      <b/>
      <sz val="30"/>
      <color theme="1"/>
      <name val="Poppins"/>
    </font>
    <font>
      <b/>
      <u/>
      <sz val="26"/>
      <color theme="1"/>
      <name val="Poppins"/>
    </font>
    <font>
      <b/>
      <sz val="25"/>
      <color theme="0"/>
      <name val="Montserrat"/>
    </font>
    <font>
      <b/>
      <sz val="20"/>
      <color theme="1"/>
      <name val="Montserrat"/>
    </font>
    <font>
      <b/>
      <sz val="20"/>
      <color theme="0"/>
      <name val="Montserrat"/>
    </font>
    <font>
      <b/>
      <sz val="26"/>
      <color theme="0"/>
      <name val="Montserrat"/>
    </font>
    <font>
      <i/>
      <sz val="20"/>
      <color theme="1"/>
      <name val="Montserrat"/>
    </font>
    <font>
      <sz val="20"/>
      <color theme="1"/>
      <name val="Montserrat"/>
    </font>
    <font>
      <b/>
      <i/>
      <sz val="36"/>
      <color theme="1"/>
      <name val="Montserrat"/>
    </font>
    <font>
      <i/>
      <sz val="26"/>
      <color theme="1"/>
      <name val="Montserrat"/>
    </font>
    <font>
      <sz val="30"/>
      <color theme="1"/>
      <name val="Trebuchet MS"/>
      <family val="1"/>
      <scheme val="minor"/>
    </font>
    <font>
      <b/>
      <sz val="48"/>
      <name val="Montserrat"/>
    </font>
    <font>
      <b/>
      <sz val="80"/>
      <color rgb="FF000000"/>
      <name val="Montserrat"/>
    </font>
    <font>
      <sz val="30"/>
      <color theme="1"/>
      <name val="Pppins"/>
    </font>
    <font>
      <b/>
      <sz val="48"/>
      <color theme="0"/>
      <name val="Poppins"/>
    </font>
    <font>
      <i/>
      <sz val="38"/>
      <color theme="1"/>
      <name val="Poppins"/>
    </font>
    <font>
      <sz val="60"/>
      <color theme="1"/>
      <name val="Montserrat"/>
    </font>
    <font>
      <b/>
      <sz val="35"/>
      <color theme="2" tint="-0.749992370372631"/>
      <name val="Montserrat"/>
    </font>
    <font>
      <b/>
      <sz val="36"/>
      <name val="Montserrat"/>
    </font>
    <font>
      <b/>
      <sz val="72"/>
      <name val="Montserrat"/>
    </font>
    <font>
      <b/>
      <sz val="72"/>
      <color theme="1"/>
      <name val="Montserrat"/>
    </font>
    <font>
      <i/>
      <sz val="60"/>
      <color theme="1"/>
      <name val="Montserrat"/>
    </font>
    <font>
      <b/>
      <i/>
      <sz val="60"/>
      <color theme="1"/>
      <name val="Montserrat"/>
    </font>
    <font>
      <sz val="20"/>
      <color rgb="FF000000"/>
      <name val="Montserrat"/>
    </font>
    <font>
      <b/>
      <sz val="28"/>
      <color theme="0"/>
      <name val="Montserrat"/>
    </font>
    <font>
      <b/>
      <sz val="20"/>
      <color rgb="FF000000"/>
      <name val="Montserrat"/>
    </font>
    <font>
      <b/>
      <u/>
      <sz val="26"/>
      <color theme="1"/>
      <name val="Montserrat"/>
    </font>
    <font>
      <b/>
      <u/>
      <sz val="28"/>
      <color theme="1"/>
      <name val="Montserrat"/>
    </font>
    <font>
      <sz val="60"/>
      <color theme="1"/>
      <name val="Poppins"/>
    </font>
    <font>
      <i/>
      <sz val="61.1"/>
      <color rgb="FF595959"/>
      <name val="Montserrat"/>
    </font>
    <font>
      <i/>
      <sz val="77.099999999999994"/>
      <color rgb="FF595959"/>
      <name val="Montserrat"/>
    </font>
    <font>
      <b/>
      <sz val="36"/>
      <color theme="2" tint="-0.749992370372631"/>
      <name val="Montserrat"/>
    </font>
    <font>
      <sz val="36"/>
      <color theme="1"/>
      <name val="Trebuchet MS"/>
      <family val="2"/>
      <scheme val="minor"/>
    </font>
    <font>
      <b/>
      <sz val="36"/>
      <color theme="2" tint="-0.89999084444715716"/>
      <name val="Montserrat"/>
    </font>
    <font>
      <b/>
      <sz val="36"/>
      <color theme="6" tint="-0.499984740745262"/>
      <name val="Montserrat"/>
    </font>
    <font>
      <i/>
      <sz val="36"/>
      <color theme="1"/>
      <name val="Montserrat"/>
    </font>
  </fonts>
  <fills count="15">
    <fill>
      <patternFill patternType="none"/>
    </fill>
    <fill>
      <patternFill patternType="gray125"/>
    </fill>
    <fill>
      <patternFill patternType="solid">
        <fgColor theme="8" tint="-0.24994659260841701"/>
        <bgColor indexed="64"/>
      </patternFill>
    </fill>
    <fill>
      <patternFill patternType="solid">
        <fgColor theme="3" tint="-0.24994659260841701"/>
        <bgColor indexed="64"/>
      </patternFill>
    </fill>
    <fill>
      <patternFill patternType="solid">
        <fgColor theme="0"/>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bgColor indexed="64"/>
      </patternFill>
    </fill>
    <fill>
      <patternFill patternType="solid">
        <fgColor rgb="FFE0E0FF"/>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rgb="FFF5E6B3"/>
      </patternFill>
    </fill>
    <fill>
      <patternFill patternType="solid">
        <fgColor theme="6" tint="0.79998168889431442"/>
        <bgColor indexed="64"/>
      </patternFill>
    </fill>
    <fill>
      <patternFill patternType="solid">
        <fgColor theme="2" tint="-0.249977111117893"/>
        <bgColor rgb="FFF5E6B3"/>
      </patternFill>
    </fill>
  </fills>
  <borders count="34">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2"/>
      </top>
      <bottom style="medium">
        <color theme="3" tint="0.39994506668294322"/>
      </bottom>
      <diagonal/>
    </border>
    <border>
      <left style="medium">
        <color theme="2" tint="-0.749961851863155"/>
      </left>
      <right style="medium">
        <color theme="2" tint="-0.749961851863155"/>
      </right>
      <top/>
      <bottom/>
      <diagonal/>
    </border>
    <border>
      <left style="medium">
        <color theme="2" tint="-0.749961851863155"/>
      </left>
      <right style="medium">
        <color theme="2" tint="-0.749961851863155"/>
      </right>
      <top style="medium">
        <color theme="2" tint="-0.749961851863155"/>
      </top>
      <bottom style="medium">
        <color theme="2" tint="-0.749961851863155"/>
      </bottom>
      <diagonal/>
    </border>
    <border>
      <left style="medium">
        <color theme="2" tint="-0.749961851863155"/>
      </left>
      <right/>
      <top style="medium">
        <color theme="2" tint="-0.749961851863155"/>
      </top>
      <bottom style="medium">
        <color theme="2" tint="-0.749961851863155"/>
      </bottom>
      <diagonal/>
    </border>
    <border>
      <left/>
      <right style="medium">
        <color theme="2" tint="-0.749961851863155"/>
      </right>
      <top style="medium">
        <color theme="2" tint="-0.749961851863155"/>
      </top>
      <bottom style="medium">
        <color theme="2" tint="-0.749961851863155"/>
      </bottom>
      <diagonal/>
    </border>
    <border>
      <left/>
      <right style="medium">
        <color theme="2" tint="-0.749961851863155"/>
      </right>
      <top style="medium">
        <color theme="2" tint="-0.749961851863155"/>
      </top>
      <bottom/>
      <diagonal/>
    </border>
    <border>
      <left style="medium">
        <color theme="2" tint="-0.749961851863155"/>
      </left>
      <right/>
      <top/>
      <bottom style="medium">
        <color theme="2" tint="-0.749961851863155"/>
      </bottom>
      <diagonal/>
    </border>
    <border>
      <left/>
      <right style="medium">
        <color theme="2" tint="-0.749961851863155"/>
      </right>
      <top/>
      <bottom style="medium">
        <color theme="2" tint="-0.749961851863155"/>
      </bottom>
      <diagonal/>
    </border>
    <border>
      <left style="medium">
        <color theme="2" tint="-0.749961851863155"/>
      </left>
      <right style="medium">
        <color theme="2" tint="-0.749961851863155"/>
      </right>
      <top style="medium">
        <color theme="2" tint="-0.749961851863155"/>
      </top>
      <bottom/>
      <diagonal/>
    </border>
    <border>
      <left style="medium">
        <color theme="2" tint="-0.749961851863155"/>
      </left>
      <right style="medium">
        <color theme="2" tint="-0.749961851863155"/>
      </right>
      <top/>
      <bottom style="dotted">
        <color theme="6" tint="-0.24994659260841701"/>
      </bottom>
      <diagonal/>
    </border>
    <border>
      <left/>
      <right/>
      <top/>
      <bottom style="dotted">
        <color theme="6" tint="-0.24994659260841701"/>
      </bottom>
      <diagonal/>
    </border>
    <border>
      <left/>
      <right/>
      <top style="medium">
        <color theme="2" tint="-0.749961851863155"/>
      </top>
      <bottom style="medium">
        <color theme="2" tint="-0.749961851863155"/>
      </bottom>
      <diagonal/>
    </border>
    <border>
      <left style="dotted">
        <color theme="6" tint="-0.24994659260841701"/>
      </left>
      <right style="dotted">
        <color theme="6" tint="-0.24994659260841701"/>
      </right>
      <top style="dotted">
        <color theme="6" tint="-0.24994659260841701"/>
      </top>
      <bottom style="dotted">
        <color theme="6" tint="-0.24994659260841701"/>
      </bottom>
      <diagonal/>
    </border>
    <border>
      <left style="dotted">
        <color theme="6" tint="-0.24994659260841701"/>
      </left>
      <right style="dotted">
        <color theme="6" tint="-0.24994659260841701"/>
      </right>
      <top/>
      <bottom style="dotted">
        <color theme="6" tint="-0.24994659260841701"/>
      </bottom>
      <diagonal/>
    </border>
    <border>
      <left style="dotted">
        <color theme="6" tint="-0.24994659260841701"/>
      </left>
      <right/>
      <top style="dotted">
        <color theme="6" tint="-0.24994659260841701"/>
      </top>
      <bottom style="dotted">
        <color theme="6" tint="-0.24994659260841701"/>
      </bottom>
      <diagonal/>
    </border>
    <border>
      <left/>
      <right style="dotted">
        <color theme="6" tint="-0.24994659260841701"/>
      </right>
      <top style="dotted">
        <color theme="6" tint="-0.24994659260841701"/>
      </top>
      <bottom style="dotted">
        <color theme="6" tint="-0.24994659260841701"/>
      </bottom>
      <diagonal/>
    </border>
    <border>
      <left/>
      <right/>
      <top style="dotted">
        <color theme="6" tint="-0.24994659260841701"/>
      </top>
      <bottom style="dotted">
        <color theme="6" tint="-0.24994659260841701"/>
      </bottom>
      <diagonal/>
    </border>
    <border>
      <left style="medium">
        <color theme="2" tint="-0.749961851863155"/>
      </left>
      <right style="medium">
        <color theme="2" tint="-0.749961851863155"/>
      </right>
      <top style="dotted">
        <color theme="6" tint="-0.24994659260841701"/>
      </top>
      <bottom style="dotted">
        <color theme="6" tint="-0.24994659260841701"/>
      </bottom>
      <diagonal/>
    </border>
    <border>
      <left/>
      <right/>
      <top/>
      <bottom style="thick">
        <color theme="2" tint="-0.749961851863155"/>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2" tint="-0.749961851863155"/>
      </left>
      <right style="medium">
        <color theme="2" tint="-0.749961851863155"/>
      </right>
      <top style="medium">
        <color theme="6" tint="-0.24994659260841701"/>
      </top>
      <bottom style="medium">
        <color theme="2" tint="-0.749961851863155"/>
      </bottom>
      <diagonal/>
    </border>
    <border>
      <left/>
      <right/>
      <top/>
      <bottom style="medium">
        <color theme="2" tint="-0.749961851863155"/>
      </bottom>
      <diagonal/>
    </border>
    <border>
      <left style="medium">
        <color theme="2" tint="-0.749961851863155"/>
      </left>
      <right style="medium">
        <color theme="2" tint="-0.749961851863155"/>
      </right>
      <top style="hair">
        <color theme="6" tint="-0.24994659260841701"/>
      </top>
      <bottom style="medium">
        <color theme="2" tint="-0.749961851863155"/>
      </bottom>
      <diagonal/>
    </border>
    <border>
      <left style="medium">
        <color theme="2" tint="-0.749961851863155"/>
      </left>
      <right style="medium">
        <color theme="2" tint="-0.749961851863155"/>
      </right>
      <top style="hair">
        <color theme="6" tint="-0.24994659260841701"/>
      </top>
      <bottom style="hair">
        <color theme="6" tint="-0.24994659260841701"/>
      </bottom>
      <diagonal/>
    </border>
    <border>
      <left/>
      <right style="medium">
        <color theme="2" tint="-0.749961851863155"/>
      </right>
      <top/>
      <bottom/>
      <diagonal/>
    </border>
    <border>
      <left/>
      <right style="medium">
        <color theme="6" tint="-0.24994659260841701"/>
      </right>
      <top/>
      <bottom/>
      <diagonal/>
    </border>
    <border>
      <left style="medium">
        <color theme="2" tint="-0.749961851863155"/>
      </left>
      <right style="medium">
        <color theme="2" tint="-0.749961851863155"/>
      </right>
      <top style="medium">
        <color theme="6" tint="-0.24994659260841701"/>
      </top>
      <bottom style="hair">
        <color theme="6" tint="-0.24994659260841701"/>
      </bottom>
      <diagonal/>
    </border>
    <border>
      <left style="dotted">
        <color theme="6" tint="-0.24994659260841701"/>
      </left>
      <right/>
      <top/>
      <bottom/>
      <diagonal/>
    </border>
    <border>
      <left/>
      <right/>
      <top style="medium">
        <color theme="2" tint="-0.749961851863155"/>
      </top>
      <bottom/>
      <diagonal/>
    </border>
    <border>
      <left style="medium">
        <color theme="2" tint="-0.749961851863155"/>
      </left>
      <right style="medium">
        <color theme="2" tint="-0.749961851863155"/>
      </right>
      <top style="medium">
        <color theme="6" tint="-0.24994659260841701"/>
      </top>
      <bottom/>
      <diagonal/>
    </border>
    <border>
      <left style="dotted">
        <color theme="6" tint="-0.24994659260841701"/>
      </left>
      <right style="dotted">
        <color theme="6" tint="-0.24994659260841701"/>
      </right>
      <top/>
      <bottom/>
      <diagonal/>
    </border>
  </borders>
  <cellStyleXfs count="14">
    <xf numFmtId="0" fontId="0" fillId="0" borderId="0"/>
    <xf numFmtId="170" fontId="8" fillId="0" borderId="0"/>
    <xf numFmtId="0" fontId="1" fillId="0" borderId="0"/>
    <xf numFmtId="0" fontId="2" fillId="0" borderId="0">
      <alignment horizontal="left" vertical="center" wrapText="1" indent="1"/>
    </xf>
    <xf numFmtId="0" fontId="3" fillId="2" borderId="1">
      <alignment horizontal="center" vertical="center"/>
    </xf>
    <xf numFmtId="0" fontId="4" fillId="0" borderId="3"/>
    <xf numFmtId="0" fontId="3" fillId="2" borderId="0">
      <alignment horizontal="left" vertical="center" indent="1"/>
    </xf>
    <xf numFmtId="9" fontId="5" fillId="0" borderId="0">
      <alignment horizontal="center" vertical="center"/>
    </xf>
    <xf numFmtId="0" fontId="6" fillId="0" borderId="0">
      <alignment horizontal="left" vertical="center" wrapText="1" indent="1"/>
    </xf>
    <xf numFmtId="0" fontId="11" fillId="0" borderId="0">
      <alignment horizontal="center" vertical="center"/>
    </xf>
    <xf numFmtId="0" fontId="3" fillId="3" borderId="2">
      <alignment horizontal="center" vertical="center"/>
    </xf>
    <xf numFmtId="9" fontId="8" fillId="0" borderId="0"/>
    <xf numFmtId="0" fontId="12" fillId="0" borderId="0">
      <alignment horizontal="center" vertical="center" wrapText="1"/>
    </xf>
    <xf numFmtId="171" fontId="8" fillId="0" borderId="0"/>
  </cellStyleXfs>
  <cellXfs count="244">
    <xf numFmtId="0" fontId="0" fillId="0" borderId="0" xfId="0"/>
    <xf numFmtId="0" fontId="7" fillId="0" borderId="0" xfId="3" applyFont="1">
      <alignment horizontal="left" vertical="center" wrapText="1" indent="1"/>
    </xf>
    <xf numFmtId="0" fontId="9" fillId="0" borderId="0" xfId="3" applyFont="1">
      <alignment horizontal="left" vertical="center" wrapText="1" indent="1"/>
    </xf>
    <xf numFmtId="0" fontId="20" fillId="0" borderId="0" xfId="3" applyFont="1">
      <alignment horizontal="left" vertical="center" wrapText="1" indent="1"/>
    </xf>
    <xf numFmtId="0" fontId="21" fillId="0" borderId="0" xfId="3" applyFont="1">
      <alignment horizontal="left" vertical="center" wrapText="1" indent="1"/>
    </xf>
    <xf numFmtId="0" fontId="10" fillId="0" borderId="0" xfId="3" applyFont="1" applyAlignment="1">
      <alignment horizontal="center" vertical="center" wrapText="1"/>
    </xf>
    <xf numFmtId="0" fontId="24" fillId="0" borderId="0" xfId="3" applyFont="1">
      <alignment horizontal="left" vertical="center" wrapText="1" indent="1"/>
    </xf>
    <xf numFmtId="0" fontId="19" fillId="0" borderId="0" xfId="3" applyFont="1">
      <alignment horizontal="left" vertical="center" wrapText="1" indent="1"/>
    </xf>
    <xf numFmtId="0" fontId="27" fillId="0" borderId="0" xfId="3" applyFont="1">
      <alignment horizontal="left" vertical="center" wrapText="1" indent="1"/>
    </xf>
    <xf numFmtId="0" fontId="28" fillId="0" borderId="0" xfId="3" applyFont="1">
      <alignment horizontal="left" vertical="center" wrapText="1" indent="1"/>
    </xf>
    <xf numFmtId="0" fontId="27" fillId="0" borderId="0" xfId="9" applyFont="1">
      <alignment horizontal="center" vertical="center"/>
    </xf>
    <xf numFmtId="0" fontId="27" fillId="0" borderId="0" xfId="3" applyFont="1" applyAlignment="1">
      <alignment horizontal="center" vertical="center" wrapText="1"/>
    </xf>
    <xf numFmtId="0" fontId="7" fillId="0" borderId="0" xfId="3" applyFont="1" applyAlignment="1">
      <alignment horizontal="center" vertical="center" wrapText="1"/>
    </xf>
    <xf numFmtId="0" fontId="31" fillId="0" borderId="0" xfId="3" applyFont="1">
      <alignment horizontal="left" vertical="center" wrapText="1" indent="1"/>
    </xf>
    <xf numFmtId="0" fontId="26" fillId="0" borderId="15" xfId="0" applyFont="1" applyBorder="1" applyAlignment="1">
      <alignment horizontal="center"/>
    </xf>
    <xf numFmtId="10" fontId="32" fillId="0" borderId="15" xfId="0" applyNumberFormat="1" applyFont="1" applyBorder="1" applyAlignment="1">
      <alignment horizontal="center" wrapText="1"/>
    </xf>
    <xf numFmtId="0" fontId="29" fillId="0" borderId="0" xfId="0" applyFont="1" applyAlignment="1">
      <alignment horizontal="center" vertical="center" wrapText="1"/>
    </xf>
    <xf numFmtId="0" fontId="27" fillId="0" borderId="15" xfId="3" applyFont="1" applyBorder="1">
      <alignment horizontal="left" vertical="center" wrapText="1" indent="1"/>
    </xf>
    <xf numFmtId="0" fontId="34" fillId="0" borderId="0" xfId="3" applyFont="1" applyAlignment="1">
      <alignment horizontal="center" vertical="center" wrapText="1"/>
    </xf>
    <xf numFmtId="0" fontId="27" fillId="0" borderId="16" xfId="3" applyFont="1" applyBorder="1">
      <alignment horizontal="left" vertical="center" wrapText="1" indent="1"/>
    </xf>
    <xf numFmtId="10" fontId="29" fillId="0" borderId="15" xfId="0" applyNumberFormat="1" applyFont="1" applyBorder="1" applyAlignment="1">
      <alignment vertical="center" wrapText="1"/>
    </xf>
    <xf numFmtId="10" fontId="29" fillId="0" borderId="18" xfId="0" applyNumberFormat="1" applyFont="1" applyBorder="1" applyAlignment="1">
      <alignment horizontal="center" vertical="center" wrapText="1"/>
    </xf>
    <xf numFmtId="10" fontId="26" fillId="0" borderId="15" xfId="0" applyNumberFormat="1" applyFont="1" applyBorder="1" applyAlignment="1">
      <alignment horizontal="center"/>
    </xf>
    <xf numFmtId="0" fontId="29" fillId="0" borderId="15" xfId="0" applyFont="1" applyBorder="1" applyAlignment="1">
      <alignment horizontal="center" vertical="center" wrapText="1"/>
    </xf>
    <xf numFmtId="0" fontId="33" fillId="0" borderId="15" xfId="0" applyFont="1" applyBorder="1" applyAlignment="1">
      <alignment horizontal="center" vertical="center"/>
    </xf>
    <xf numFmtId="0" fontId="26" fillId="0" borderId="18" xfId="0" applyFont="1" applyBorder="1" applyAlignment="1">
      <alignment horizontal="center"/>
    </xf>
    <xf numFmtId="0" fontId="27" fillId="0" borderId="15" xfId="3" applyFont="1" applyBorder="1" applyAlignment="1">
      <alignment horizontal="center" vertical="center" wrapText="1"/>
    </xf>
    <xf numFmtId="164" fontId="27" fillId="0" borderId="15" xfId="3" applyNumberFormat="1" applyFont="1" applyBorder="1" applyAlignment="1">
      <alignment horizontal="center" vertical="center" wrapText="1"/>
    </xf>
    <xf numFmtId="0" fontId="35" fillId="0" borderId="15" xfId="3" applyFont="1" applyBorder="1" applyAlignment="1">
      <alignment horizontal="center" vertical="center" wrapText="1"/>
    </xf>
    <xf numFmtId="10" fontId="26" fillId="0" borderId="15" xfId="0" applyNumberFormat="1" applyFont="1" applyBorder="1" applyAlignment="1">
      <alignment horizontal="center" vertical="center" wrapText="1"/>
    </xf>
    <xf numFmtId="0" fontId="35" fillId="0" borderId="0" xfId="3" applyFont="1" applyAlignment="1">
      <alignment vertical="center" wrapText="1"/>
    </xf>
    <xf numFmtId="0" fontId="39" fillId="0" borderId="0" xfId="3" applyFont="1">
      <alignment horizontal="left" vertical="center" wrapText="1" indent="1"/>
    </xf>
    <xf numFmtId="0" fontId="40" fillId="5" borderId="4" xfId="3" applyFont="1" applyFill="1" applyBorder="1" applyAlignment="1">
      <alignment horizontal="center" vertical="center" wrapText="1"/>
    </xf>
    <xf numFmtId="0" fontId="41" fillId="0" borderId="5" xfId="3" applyFont="1" applyBorder="1" applyAlignment="1">
      <alignment horizontal="center" vertical="center" wrapText="1"/>
    </xf>
    <xf numFmtId="10" fontId="41" fillId="0" borderId="5" xfId="3" applyNumberFormat="1" applyFont="1" applyBorder="1" applyAlignment="1">
      <alignment horizontal="center" vertical="center" wrapText="1"/>
    </xf>
    <xf numFmtId="165" fontId="41" fillId="0" borderId="5" xfId="3" applyNumberFormat="1" applyFont="1" applyBorder="1" applyAlignment="1">
      <alignment horizontal="center" vertical="center" wrapText="1"/>
    </xf>
    <xf numFmtId="9" fontId="41" fillId="0" borderId="5" xfId="3" applyNumberFormat="1" applyFont="1" applyBorder="1" applyAlignment="1">
      <alignment horizontal="center" vertical="center" wrapText="1"/>
    </xf>
    <xf numFmtId="0" fontId="42" fillId="5" borderId="4" xfId="3" applyFont="1" applyFill="1" applyBorder="1" applyAlignment="1">
      <alignment horizontal="center" vertical="center" wrapText="1"/>
    </xf>
    <xf numFmtId="0" fontId="40" fillId="0" borderId="0" xfId="3" applyFont="1" applyAlignment="1">
      <alignment horizontal="center" vertical="center" wrapText="1"/>
    </xf>
    <xf numFmtId="0" fontId="40" fillId="0" borderId="0" xfId="3" applyFont="1">
      <alignment horizontal="left" vertical="center" wrapText="1" indent="1"/>
    </xf>
    <xf numFmtId="0" fontId="42" fillId="5" borderId="11" xfId="3" applyFont="1" applyFill="1" applyBorder="1" applyAlignment="1">
      <alignment horizontal="center" vertical="center" wrapText="1"/>
    </xf>
    <xf numFmtId="0" fontId="42" fillId="0" borderId="0" xfId="3" applyFont="1">
      <alignment horizontal="left" vertical="center" wrapText="1" indent="1"/>
    </xf>
    <xf numFmtId="0" fontId="43" fillId="5" borderId="23" xfId="3" applyFont="1" applyFill="1" applyBorder="1" applyAlignment="1">
      <alignment horizontal="center" vertical="center" wrapText="1"/>
    </xf>
    <xf numFmtId="14" fontId="41" fillId="0" borderId="5" xfId="3" applyNumberFormat="1" applyFont="1" applyBorder="1" applyAlignment="1">
      <alignment horizontal="center" vertical="center" wrapText="1"/>
    </xf>
    <xf numFmtId="0" fontId="15" fillId="0" borderId="0" xfId="3" applyFont="1" applyAlignment="1">
      <alignment horizontal="center" vertical="center" wrapText="1"/>
    </xf>
    <xf numFmtId="0" fontId="16" fillId="0" borderId="0" xfId="3" applyFont="1" applyAlignment="1">
      <alignment horizontal="center" vertical="center" wrapText="1"/>
    </xf>
    <xf numFmtId="0" fontId="16" fillId="0" borderId="0" xfId="3" applyFont="1" applyAlignment="1">
      <alignment vertical="center" wrapText="1"/>
    </xf>
    <xf numFmtId="0" fontId="41" fillId="0" borderId="21" xfId="3" applyFont="1" applyBorder="1">
      <alignment horizontal="left" vertical="center" wrapText="1" indent="1"/>
    </xf>
    <xf numFmtId="0" fontId="49" fillId="0" borderId="0" xfId="3" applyFont="1" applyAlignment="1">
      <alignment horizontal="center" vertical="center" wrapText="1"/>
    </xf>
    <xf numFmtId="0" fontId="50" fillId="0" borderId="0" xfId="0" applyFont="1"/>
    <xf numFmtId="0" fontId="48" fillId="0" borderId="0" xfId="3" applyFont="1">
      <alignment horizontal="left" vertical="center" wrapText="1" indent="1"/>
    </xf>
    <xf numFmtId="0" fontId="18" fillId="0" borderId="0" xfId="3" applyFont="1" applyAlignment="1">
      <alignment horizontal="center" vertical="center" wrapText="1"/>
    </xf>
    <xf numFmtId="14" fontId="18" fillId="0" borderId="0" xfId="3" applyNumberFormat="1" applyFont="1" applyAlignment="1">
      <alignment horizontal="center" vertical="center" wrapText="1"/>
    </xf>
    <xf numFmtId="0" fontId="51" fillId="0" borderId="0" xfId="3" applyFont="1">
      <alignment horizontal="left" vertical="center" wrapText="1" indent="1"/>
    </xf>
    <xf numFmtId="0" fontId="22" fillId="0" borderId="0" xfId="3" applyFont="1" applyAlignment="1">
      <alignment horizontal="center" vertical="center" wrapText="1"/>
    </xf>
    <xf numFmtId="0" fontId="23" fillId="0" borderId="0" xfId="3" applyFont="1">
      <alignment horizontal="left" vertical="center" wrapText="1" indent="1"/>
    </xf>
    <xf numFmtId="0" fontId="15" fillId="0" borderId="15" xfId="3" applyFont="1" applyBorder="1">
      <alignment horizontal="left" vertical="center" wrapText="1" indent="1"/>
    </xf>
    <xf numFmtId="0" fontId="16" fillId="0" borderId="30" xfId="3" applyFont="1" applyBorder="1" applyAlignment="1">
      <alignment vertical="center" wrapText="1"/>
    </xf>
    <xf numFmtId="0" fontId="7" fillId="0" borderId="30" xfId="3" applyFont="1" applyBorder="1">
      <alignment horizontal="left" vertical="center" wrapText="1" indent="1"/>
    </xf>
    <xf numFmtId="0" fontId="28" fillId="0" borderId="30" xfId="3" applyFont="1" applyBorder="1">
      <alignment horizontal="left" vertical="center" wrapText="1" indent="1"/>
    </xf>
    <xf numFmtId="0" fontId="45" fillId="0" borderId="0" xfId="3" applyFont="1">
      <alignment horizontal="left" vertical="center" wrapText="1" indent="1"/>
    </xf>
    <xf numFmtId="0" fontId="42" fillId="5" borderId="22" xfId="3" applyFont="1" applyFill="1" applyBorder="1" applyAlignment="1">
      <alignment horizontal="right" vertical="center" wrapText="1" indent="1"/>
    </xf>
    <xf numFmtId="166" fontId="45" fillId="0" borderId="22" xfId="3" applyNumberFormat="1" applyFont="1" applyBorder="1">
      <alignment horizontal="left" vertical="center" wrapText="1" indent="1"/>
    </xf>
    <xf numFmtId="0" fontId="45" fillId="0" borderId="28" xfId="3" applyFont="1" applyBorder="1">
      <alignment horizontal="left" vertical="center" wrapText="1" indent="1"/>
    </xf>
    <xf numFmtId="0" fontId="15" fillId="0" borderId="15" xfId="3" applyFont="1" applyBorder="1" applyAlignment="1">
      <alignment horizontal="left" vertical="center" wrapText="1"/>
    </xf>
    <xf numFmtId="0" fontId="54" fillId="0" borderId="0" xfId="3" applyFont="1">
      <alignment horizontal="left" vertical="center" wrapText="1" indent="1"/>
    </xf>
    <xf numFmtId="10" fontId="36" fillId="0" borderId="0" xfId="0" applyNumberFormat="1" applyFont="1"/>
    <xf numFmtId="0" fontId="33" fillId="0" borderId="0" xfId="0" applyFont="1" applyAlignment="1">
      <alignment horizontal="center" vertical="center"/>
    </xf>
    <xf numFmtId="10" fontId="32" fillId="0" borderId="0" xfId="0" applyNumberFormat="1" applyFont="1" applyAlignment="1">
      <alignment horizontal="center" wrapText="1"/>
    </xf>
    <xf numFmtId="0" fontId="54" fillId="0" borderId="0" xfId="9" applyFont="1">
      <alignment horizontal="center" vertical="center"/>
    </xf>
    <xf numFmtId="0" fontId="54" fillId="0" borderId="0" xfId="9" applyFont="1" applyAlignment="1">
      <alignment horizontal="left" vertical="center"/>
    </xf>
    <xf numFmtId="0" fontId="57" fillId="12" borderId="0" xfId="0" applyFont="1" applyFill="1" applyAlignment="1">
      <alignment vertical="center" wrapText="1"/>
    </xf>
    <xf numFmtId="0" fontId="56" fillId="12" borderId="0" xfId="0" applyFont="1" applyFill="1" applyAlignment="1">
      <alignment vertical="center" wrapText="1"/>
    </xf>
    <xf numFmtId="0" fontId="52" fillId="4" borderId="0" xfId="3" applyFont="1" applyFill="1" applyAlignment="1">
      <alignment horizontal="center" vertical="center" wrapText="1"/>
    </xf>
    <xf numFmtId="0" fontId="53" fillId="4" borderId="0" xfId="3" applyFont="1" applyFill="1" applyAlignment="1">
      <alignment horizontal="center" vertical="center" wrapText="1"/>
    </xf>
    <xf numFmtId="0" fontId="38" fillId="4" borderId="0" xfId="3" applyFont="1" applyFill="1" applyAlignment="1">
      <alignment horizontal="center" vertical="center" wrapText="1"/>
    </xf>
    <xf numFmtId="0" fontId="41" fillId="0" borderId="0" xfId="3" applyFont="1" applyAlignment="1">
      <alignment horizontal="center" vertical="center" wrapText="1"/>
    </xf>
    <xf numFmtId="0" fontId="47" fillId="0" borderId="0" xfId="3" applyFont="1" applyAlignment="1">
      <alignment vertical="center" wrapText="1"/>
    </xf>
    <xf numFmtId="0" fontId="47" fillId="0" borderId="21" xfId="3" applyFont="1" applyBorder="1" applyAlignment="1">
      <alignment vertical="center" wrapText="1"/>
    </xf>
    <xf numFmtId="0" fontId="46" fillId="4" borderId="0" xfId="3" applyFont="1" applyFill="1" applyAlignment="1">
      <alignment vertical="center" wrapText="1"/>
    </xf>
    <xf numFmtId="0" fontId="45" fillId="0" borderId="21" xfId="3" applyFont="1" applyBorder="1">
      <alignment horizontal="left" vertical="center" wrapText="1" indent="1"/>
    </xf>
    <xf numFmtId="0" fontId="10" fillId="0" borderId="15" xfId="3" applyFont="1" applyBorder="1" applyAlignment="1">
      <alignment horizontal="center" vertical="center" wrapText="1"/>
    </xf>
    <xf numFmtId="0" fontId="45" fillId="0" borderId="15" xfId="3" applyFont="1" applyBorder="1" applyAlignment="1">
      <alignment horizontal="center" vertical="center" wrapText="1"/>
    </xf>
    <xf numFmtId="0" fontId="61" fillId="0" borderId="15" xfId="0" applyFont="1" applyBorder="1" applyAlignment="1">
      <alignment horizontal="center" wrapText="1"/>
    </xf>
    <xf numFmtId="0" fontId="61" fillId="0" borderId="0" xfId="0" applyFont="1" applyAlignment="1">
      <alignment horizontal="center" wrapText="1"/>
    </xf>
    <xf numFmtId="0" fontId="61" fillId="0" borderId="0" xfId="0" applyFont="1" applyAlignment="1">
      <alignment vertical="center"/>
    </xf>
    <xf numFmtId="0" fontId="61" fillId="0" borderId="15" xfId="0" applyFont="1" applyBorder="1" applyAlignment="1">
      <alignment horizontal="center" vertical="center"/>
    </xf>
    <xf numFmtId="0" fontId="61" fillId="0" borderId="0" xfId="0" applyFont="1" applyAlignment="1">
      <alignment horizontal="center" vertical="center"/>
    </xf>
    <xf numFmtId="0" fontId="61" fillId="0" borderId="0" xfId="0" applyFont="1"/>
    <xf numFmtId="0" fontId="61" fillId="0" borderId="15" xfId="0" applyFont="1" applyBorder="1" applyAlignment="1">
      <alignment horizontal="center"/>
    </xf>
    <xf numFmtId="0" fontId="61" fillId="0" borderId="0" xfId="0" applyFont="1" applyAlignment="1">
      <alignment horizontal="center"/>
    </xf>
    <xf numFmtId="9" fontId="61" fillId="0" borderId="0" xfId="0" applyNumberFormat="1" applyFont="1"/>
    <xf numFmtId="0" fontId="61" fillId="0" borderId="0" xfId="0" applyFont="1" applyAlignment="1">
      <alignment horizontal="right"/>
    </xf>
    <xf numFmtId="0" fontId="62" fillId="5" borderId="29" xfId="3" applyFont="1" applyFill="1" applyBorder="1" applyAlignment="1">
      <alignment horizontal="center" vertical="center" wrapText="1"/>
    </xf>
    <xf numFmtId="167" fontId="20" fillId="0" borderId="26" xfId="3" applyNumberFormat="1" applyFont="1" applyBorder="1" applyAlignment="1">
      <alignment horizontal="center" vertical="center" wrapText="1"/>
    </xf>
    <xf numFmtId="167" fontId="20" fillId="0" borderId="26" xfId="1" applyNumberFormat="1" applyFont="1" applyBorder="1" applyAlignment="1">
      <alignment horizontal="center" vertical="center" wrapText="1"/>
    </xf>
    <xf numFmtId="9" fontId="20" fillId="0" borderId="26" xfId="11" applyFont="1" applyBorder="1" applyAlignment="1">
      <alignment horizontal="center" vertical="center" wrapText="1"/>
    </xf>
    <xf numFmtId="167" fontId="20" fillId="0" borderId="25" xfId="3" applyNumberFormat="1" applyFont="1" applyBorder="1" applyAlignment="1">
      <alignment horizontal="center" vertical="center" wrapText="1"/>
    </xf>
    <xf numFmtId="167" fontId="20" fillId="0" borderId="25" xfId="1" applyNumberFormat="1" applyFont="1" applyBorder="1" applyAlignment="1">
      <alignment horizontal="center" vertical="center" wrapText="1"/>
    </xf>
    <xf numFmtId="9" fontId="20" fillId="0" borderId="25" xfId="11" applyFont="1" applyBorder="1" applyAlignment="1">
      <alignment horizontal="center" vertical="center" wrapText="1"/>
    </xf>
    <xf numFmtId="10" fontId="16" fillId="0" borderId="0" xfId="3" applyNumberFormat="1" applyFont="1" applyAlignment="1">
      <alignment horizontal="center" vertical="center" wrapText="1"/>
    </xf>
    <xf numFmtId="1" fontId="45" fillId="0" borderId="0" xfId="3" applyNumberFormat="1" applyFont="1">
      <alignment horizontal="left" vertical="center" wrapText="1" indent="1"/>
    </xf>
    <xf numFmtId="0" fontId="45" fillId="0" borderId="0" xfId="3" applyFont="1" applyAlignment="1">
      <alignment horizontal="center" vertical="center" wrapText="1"/>
    </xf>
    <xf numFmtId="0" fontId="10" fillId="0" borderId="17"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0" xfId="3" applyFont="1" applyAlignment="1">
      <alignment vertical="center" wrapText="1"/>
    </xf>
    <xf numFmtId="10" fontId="61" fillId="0" borderId="15" xfId="0" applyNumberFormat="1" applyFont="1" applyBorder="1" applyAlignment="1">
      <alignment horizontal="center" vertical="center" wrapText="1"/>
    </xf>
    <xf numFmtId="10" fontId="25" fillId="0" borderId="17" xfId="0" applyNumberFormat="1" applyFont="1" applyBorder="1"/>
    <xf numFmtId="10" fontId="25" fillId="0" borderId="19" xfId="0" applyNumberFormat="1" applyFont="1" applyBorder="1"/>
    <xf numFmtId="10" fontId="25" fillId="0" borderId="18" xfId="0" applyNumberFormat="1" applyFont="1" applyBorder="1"/>
    <xf numFmtId="10" fontId="63" fillId="0" borderId="15" xfId="0" applyNumberFormat="1" applyFont="1" applyBorder="1" applyAlignment="1">
      <alignment vertical="center" wrapText="1"/>
    </xf>
    <xf numFmtId="10" fontId="63" fillId="0" borderId="18" xfId="0" applyNumberFormat="1" applyFont="1" applyBorder="1" applyAlignment="1">
      <alignment horizontal="center" vertical="center" wrapText="1"/>
    </xf>
    <xf numFmtId="0" fontId="63" fillId="0" borderId="15" xfId="0" applyFont="1" applyBorder="1" applyAlignment="1">
      <alignment horizontal="center" vertical="center" wrapText="1"/>
    </xf>
    <xf numFmtId="0" fontId="63" fillId="0" borderId="15" xfId="0" applyFont="1" applyBorder="1" applyAlignment="1">
      <alignment horizontal="center" vertical="center"/>
    </xf>
    <xf numFmtId="0" fontId="61" fillId="0" borderId="15" xfId="0" applyFont="1" applyBorder="1" applyAlignment="1">
      <alignment vertical="center"/>
    </xf>
    <xf numFmtId="0" fontId="61" fillId="0" borderId="18" xfId="0" applyFont="1" applyBorder="1" applyAlignment="1">
      <alignment horizontal="center"/>
    </xf>
    <xf numFmtId="10" fontId="61" fillId="0" borderId="15" xfId="0" applyNumberFormat="1" applyFont="1" applyBorder="1" applyAlignment="1">
      <alignment horizontal="center"/>
    </xf>
    <xf numFmtId="10" fontId="61" fillId="0" borderId="15" xfId="0" applyNumberFormat="1" applyFont="1" applyBorder="1" applyAlignment="1">
      <alignment horizontal="center" wrapText="1"/>
    </xf>
    <xf numFmtId="0" fontId="61" fillId="0" borderId="15" xfId="0" applyFont="1" applyBorder="1"/>
    <xf numFmtId="0" fontId="45" fillId="0" borderId="16" xfId="3" applyFont="1" applyBorder="1">
      <alignment horizontal="left" vertical="center" wrapText="1" indent="1"/>
    </xf>
    <xf numFmtId="0" fontId="45" fillId="0" borderId="15" xfId="3" applyFont="1" applyBorder="1">
      <alignment horizontal="left" vertical="center" wrapText="1" indent="1"/>
    </xf>
    <xf numFmtId="0" fontId="61" fillId="7" borderId="15" xfId="0" applyFont="1" applyFill="1" applyBorder="1"/>
    <xf numFmtId="0" fontId="41" fillId="0" borderId="15" xfId="3" applyFont="1" applyBorder="1" applyAlignment="1">
      <alignment horizontal="center" vertical="center" wrapText="1"/>
    </xf>
    <xf numFmtId="9" fontId="61" fillId="0" borderId="15" xfId="0" applyNumberFormat="1" applyFont="1" applyBorder="1"/>
    <xf numFmtId="164" fontId="45" fillId="0" borderId="15" xfId="3" applyNumberFormat="1" applyFont="1" applyBorder="1" applyAlignment="1">
      <alignment horizontal="center" vertical="center" wrapText="1"/>
    </xf>
    <xf numFmtId="0" fontId="61" fillId="0" borderId="15" xfId="0" applyFont="1" applyBorder="1" applyAlignment="1">
      <alignment horizontal="left"/>
    </xf>
    <xf numFmtId="0" fontId="61" fillId="0" borderId="15" xfId="0" applyFont="1" applyBorder="1" applyAlignment="1">
      <alignment horizontal="right"/>
    </xf>
    <xf numFmtId="0" fontId="64" fillId="0" borderId="0" xfId="3" applyFont="1">
      <alignment horizontal="left" vertical="center" wrapText="1" indent="1"/>
    </xf>
    <xf numFmtId="0" fontId="65" fillId="0" borderId="0" xfId="3" applyFont="1" applyAlignment="1">
      <alignment horizontal="center" vertical="center" wrapText="1"/>
    </xf>
    <xf numFmtId="0" fontId="45" fillId="7" borderId="0" xfId="3" applyFont="1" applyFill="1" applyAlignment="1">
      <alignment horizontal="center" vertical="center" wrapText="1"/>
    </xf>
    <xf numFmtId="0" fontId="45" fillId="0" borderId="24" xfId="3" applyFont="1" applyBorder="1" applyAlignment="1">
      <alignment horizontal="center" vertical="center" wrapText="1"/>
    </xf>
    <xf numFmtId="0" fontId="45" fillId="0" borderId="24" xfId="3" applyFont="1" applyBorder="1" applyAlignment="1">
      <alignment horizontal="center" vertical="center"/>
    </xf>
    <xf numFmtId="0" fontId="45" fillId="0" borderId="6" xfId="3" applyFont="1" applyBorder="1" applyAlignment="1">
      <alignment horizontal="center" vertical="center" wrapText="1"/>
    </xf>
    <xf numFmtId="9" fontId="45" fillId="0" borderId="5" xfId="3" applyNumberFormat="1" applyFont="1" applyBorder="1" applyAlignment="1">
      <alignment horizontal="center" vertical="center" wrapText="1"/>
    </xf>
    <xf numFmtId="10" fontId="45" fillId="0" borderId="5" xfId="3" applyNumberFormat="1" applyFont="1" applyBorder="1" applyAlignment="1">
      <alignment horizontal="center" vertical="center" wrapText="1"/>
    </xf>
    <xf numFmtId="0" fontId="43" fillId="5" borderId="22" xfId="3" applyFont="1" applyFill="1" applyBorder="1" applyAlignment="1">
      <alignment horizontal="center" vertical="center" wrapText="1"/>
    </xf>
    <xf numFmtId="166" fontId="45" fillId="11" borderId="22" xfId="3" applyNumberFormat="1" applyFont="1" applyFill="1" applyBorder="1">
      <alignment horizontal="left" vertical="center" wrapText="1" indent="1"/>
    </xf>
    <xf numFmtId="0" fontId="41" fillId="10" borderId="5" xfId="3" applyFont="1" applyFill="1" applyBorder="1" applyAlignment="1">
      <alignment horizontal="center" vertical="center" wrapText="1"/>
    </xf>
    <xf numFmtId="0" fontId="44" fillId="10" borderId="0" xfId="3" applyFont="1" applyFill="1" applyAlignment="1">
      <alignment horizontal="center" vertical="top" wrapText="1"/>
    </xf>
    <xf numFmtId="0" fontId="45" fillId="4" borderId="0" xfId="3" applyFont="1" applyFill="1">
      <alignment horizontal="left" vertical="center" wrapText="1" indent="1"/>
    </xf>
    <xf numFmtId="0" fontId="45" fillId="4" borderId="0" xfId="3" applyFont="1" applyFill="1" applyAlignment="1">
      <alignment horizontal="center" vertical="center" wrapText="1"/>
    </xf>
    <xf numFmtId="0" fontId="41" fillId="4" borderId="0" xfId="3" applyFont="1" applyFill="1">
      <alignment horizontal="left" vertical="center" wrapText="1" indent="1"/>
    </xf>
    <xf numFmtId="0" fontId="41" fillId="0" borderId="0" xfId="3" applyFont="1">
      <alignment horizontal="left" vertical="center" wrapText="1" indent="1"/>
    </xf>
    <xf numFmtId="0" fontId="45" fillId="13" borderId="12" xfId="3" applyFont="1" applyFill="1" applyBorder="1" applyAlignment="1">
      <alignment horizontal="center" vertical="center" wrapText="1"/>
    </xf>
    <xf numFmtId="2" fontId="45" fillId="13" borderId="12" xfId="3" applyNumberFormat="1" applyFont="1" applyFill="1" applyBorder="1" applyAlignment="1">
      <alignment horizontal="center" vertical="center" wrapText="1"/>
    </xf>
    <xf numFmtId="166" fontId="45" fillId="13" borderId="12" xfId="3" applyNumberFormat="1" applyFont="1" applyFill="1" applyBorder="1" applyAlignment="1">
      <alignment horizontal="center" vertical="center" wrapText="1"/>
    </xf>
    <xf numFmtId="166" fontId="45" fillId="13" borderId="13" xfId="3" applyNumberFormat="1" applyFont="1" applyFill="1" applyBorder="1">
      <alignment horizontal="left" vertical="center" wrapText="1" indent="1"/>
    </xf>
    <xf numFmtId="1" fontId="45" fillId="13" borderId="12" xfId="3" applyNumberFormat="1" applyFont="1" applyFill="1" applyBorder="1">
      <alignment horizontal="left" vertical="center" wrapText="1" indent="1"/>
    </xf>
    <xf numFmtId="166" fontId="45" fillId="13" borderId="12" xfId="3" applyNumberFormat="1" applyFont="1" applyFill="1" applyBorder="1">
      <alignment horizontal="left" vertical="center" wrapText="1" indent="1"/>
    </xf>
    <xf numFmtId="168" fontId="45" fillId="13" borderId="20" xfId="3" applyNumberFormat="1" applyFont="1" applyFill="1" applyBorder="1">
      <alignment horizontal="left" vertical="center" wrapText="1" indent="1"/>
    </xf>
    <xf numFmtId="169" fontId="45" fillId="13" borderId="20" xfId="3" applyNumberFormat="1" applyFont="1" applyFill="1" applyBorder="1" applyAlignment="1">
      <alignment horizontal="center" vertical="center" wrapText="1"/>
    </xf>
    <xf numFmtId="1" fontId="45" fillId="13" borderId="12" xfId="3" applyNumberFormat="1" applyFont="1" applyFill="1" applyBorder="1" applyAlignment="1">
      <alignment horizontal="center" vertical="center" wrapText="1"/>
    </xf>
    <xf numFmtId="166" fontId="45" fillId="4" borderId="22" xfId="1" applyNumberFormat="1" applyFont="1" applyFill="1" applyBorder="1" applyAlignment="1">
      <alignment horizontal="center" vertical="center" wrapText="1"/>
    </xf>
    <xf numFmtId="0" fontId="45" fillId="4" borderId="12" xfId="3" applyFont="1" applyFill="1" applyBorder="1" applyAlignment="1">
      <alignment horizontal="center" vertical="center" wrapText="1"/>
    </xf>
    <xf numFmtId="167" fontId="18" fillId="11" borderId="22" xfId="1" applyNumberFormat="1" applyFont="1" applyFill="1" applyBorder="1" applyAlignment="1">
      <alignment horizontal="center" vertical="center" wrapText="1"/>
    </xf>
    <xf numFmtId="0" fontId="60" fillId="4" borderId="0" xfId="3" applyFont="1" applyFill="1" applyAlignment="1">
      <alignment vertical="center" wrapText="1"/>
    </xf>
    <xf numFmtId="0" fontId="59" fillId="4" borderId="0" xfId="3" applyFont="1" applyFill="1" applyAlignment="1">
      <alignment horizontal="center" vertical="center" wrapText="1"/>
    </xf>
    <xf numFmtId="0" fontId="66" fillId="0" borderId="0" xfId="3" applyFont="1">
      <alignment horizontal="left" vertical="center" wrapText="1" indent="1"/>
    </xf>
    <xf numFmtId="0" fontId="54" fillId="4" borderId="0" xfId="9" applyFont="1" applyFill="1">
      <alignment horizontal="center" vertical="center"/>
    </xf>
    <xf numFmtId="0" fontId="54" fillId="13" borderId="0" xfId="3" applyFont="1" applyFill="1">
      <alignment horizontal="left" vertical="center" wrapText="1" indent="1"/>
    </xf>
    <xf numFmtId="167" fontId="19" fillId="4" borderId="0" xfId="1" applyNumberFormat="1" applyFont="1" applyFill="1" applyAlignment="1">
      <alignment horizontal="center" vertical="center" wrapText="1"/>
    </xf>
    <xf numFmtId="0" fontId="46" fillId="0" borderId="0" xfId="3" applyFont="1" applyAlignment="1">
      <alignment horizontal="center" vertical="center" wrapText="1"/>
    </xf>
    <xf numFmtId="0" fontId="54" fillId="9" borderId="0" xfId="3" applyFont="1" applyFill="1" applyProtection="1">
      <alignment horizontal="left" vertical="center" wrapText="1" indent="1"/>
      <protection locked="0"/>
    </xf>
    <xf numFmtId="0" fontId="45" fillId="9" borderId="12" xfId="3" applyFont="1" applyFill="1" applyBorder="1" applyAlignment="1" applyProtection="1">
      <alignment horizontal="center" vertical="center" wrapText="1"/>
      <protection locked="0"/>
    </xf>
    <xf numFmtId="9" fontId="45" fillId="9" borderId="12" xfId="11" applyFont="1" applyFill="1" applyBorder="1" applyAlignment="1" applyProtection="1">
      <alignment horizontal="center" vertical="center" wrapText="1"/>
      <protection locked="0"/>
    </xf>
    <xf numFmtId="0" fontId="41" fillId="9" borderId="5" xfId="3" applyFont="1" applyFill="1" applyBorder="1" applyAlignment="1" applyProtection="1">
      <alignment horizontal="center" vertical="center" wrapText="1"/>
      <protection locked="0"/>
    </xf>
    <xf numFmtId="166" fontId="45" fillId="9" borderId="12" xfId="1" applyNumberFormat="1" applyFont="1" applyFill="1" applyBorder="1" applyAlignment="1" applyProtection="1">
      <alignment horizontal="center" vertical="center" wrapText="1"/>
      <protection locked="0"/>
    </xf>
    <xf numFmtId="0" fontId="45" fillId="9" borderId="12" xfId="3" applyFont="1" applyFill="1" applyBorder="1" applyProtection="1">
      <alignment horizontal="left" vertical="center" wrapText="1" indent="1"/>
      <protection locked="0"/>
    </xf>
    <xf numFmtId="1" fontId="45" fillId="9" borderId="12" xfId="3" applyNumberFormat="1" applyFont="1" applyFill="1" applyBorder="1" applyProtection="1">
      <alignment horizontal="left" vertical="center" wrapText="1" indent="1"/>
      <protection locked="0"/>
    </xf>
    <xf numFmtId="167" fontId="13" fillId="11" borderId="22" xfId="1" applyNumberFormat="1" applyFont="1" applyFill="1" applyBorder="1" applyAlignment="1">
      <alignment horizontal="center" vertical="center" wrapText="1"/>
    </xf>
    <xf numFmtId="167" fontId="15" fillId="11" borderId="22" xfId="1" applyNumberFormat="1" applyFont="1" applyFill="1" applyBorder="1" applyAlignment="1">
      <alignment horizontal="center" vertical="center" wrapText="1"/>
    </xf>
    <xf numFmtId="0" fontId="14" fillId="5" borderId="22" xfId="3" applyFont="1" applyFill="1" applyBorder="1" applyAlignment="1">
      <alignment horizontal="center" vertical="center" wrapText="1"/>
    </xf>
    <xf numFmtId="0" fontId="67" fillId="0" borderId="0" xfId="0" applyFont="1" applyAlignment="1">
      <alignment horizontal="left" vertical="center" wrapText="1"/>
    </xf>
    <xf numFmtId="0" fontId="23" fillId="5" borderId="32" xfId="3" applyFont="1" applyFill="1" applyBorder="1" applyAlignment="1">
      <alignment horizontal="center" vertical="center" wrapText="1"/>
    </xf>
    <xf numFmtId="0" fontId="16" fillId="0" borderId="5" xfId="3" applyFont="1" applyBorder="1" applyAlignment="1">
      <alignment horizontal="center" vertical="center" wrapText="1"/>
    </xf>
    <xf numFmtId="14" fontId="15" fillId="9" borderId="5" xfId="1" applyNumberFormat="1" applyFont="1" applyFill="1" applyBorder="1" applyAlignment="1" applyProtection="1">
      <alignment horizontal="center" vertical="center" wrapText="1"/>
      <protection locked="0"/>
    </xf>
    <xf numFmtId="0" fontId="69" fillId="0" borderId="6" xfId="3" applyFont="1" applyBorder="1" applyAlignment="1">
      <alignment horizontal="center" vertical="center" wrapText="1"/>
    </xf>
    <xf numFmtId="0" fontId="69" fillId="0" borderId="6" xfId="3" applyFont="1" applyBorder="1" applyAlignment="1">
      <alignment vertical="center" wrapText="1"/>
    </xf>
    <xf numFmtId="0" fontId="69" fillId="0" borderId="14" xfId="3" applyFont="1" applyBorder="1" applyAlignment="1">
      <alignment vertical="center" wrapText="1"/>
    </xf>
    <xf numFmtId="0" fontId="69" fillId="0" borderId="24" xfId="3" applyFont="1" applyBorder="1" applyAlignment="1">
      <alignment vertical="center" wrapText="1"/>
    </xf>
    <xf numFmtId="0" fontId="72" fillId="8" borderId="0" xfId="3" applyFont="1" applyFill="1" applyAlignment="1">
      <alignment horizontal="center" vertical="center" wrapText="1"/>
    </xf>
    <xf numFmtId="0" fontId="69" fillId="0" borderId="14" xfId="3" applyFont="1" applyBorder="1" applyAlignment="1">
      <alignment horizontal="center" vertical="center" wrapText="1"/>
    </xf>
    <xf numFmtId="0" fontId="69" fillId="0" borderId="7" xfId="3" applyFont="1" applyBorder="1" applyAlignment="1">
      <alignment horizontal="center" vertical="center" wrapText="1"/>
    </xf>
    <xf numFmtId="0" fontId="14" fillId="5" borderId="4"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3" fillId="0" borderId="12" xfId="3" applyFont="1" applyBorder="1" applyAlignment="1">
      <alignment horizontal="center" vertical="center" wrapText="1"/>
    </xf>
    <xf numFmtId="0" fontId="13" fillId="9" borderId="12" xfId="3" applyFont="1" applyFill="1" applyBorder="1" applyAlignment="1" applyProtection="1">
      <alignment horizontal="center" vertical="center" wrapText="1"/>
      <protection locked="0"/>
    </xf>
    <xf numFmtId="0" fontId="13" fillId="9" borderId="12" xfId="1" applyNumberFormat="1" applyFont="1" applyFill="1" applyBorder="1" applyAlignment="1" applyProtection="1">
      <alignment horizontal="center" vertical="center" wrapText="1"/>
      <protection locked="0"/>
    </xf>
    <xf numFmtId="0" fontId="13" fillId="13" borderId="12" xfId="1" applyNumberFormat="1" applyFont="1" applyFill="1" applyBorder="1" applyAlignment="1">
      <alignment horizontal="center" vertical="center" wrapText="1"/>
    </xf>
    <xf numFmtId="9" fontId="13" fillId="9" borderId="12" xfId="11" applyFont="1" applyFill="1" applyBorder="1" applyAlignment="1" applyProtection="1">
      <alignment horizontal="center" vertical="center" wrapText="1"/>
      <protection locked="0"/>
    </xf>
    <xf numFmtId="166" fontId="13" fillId="13" borderId="12" xfId="1" applyNumberFormat="1" applyFont="1" applyFill="1" applyBorder="1" applyAlignment="1">
      <alignment horizontal="center" vertical="center" wrapText="1"/>
    </xf>
    <xf numFmtId="166" fontId="13" fillId="13" borderId="12" xfId="3" applyNumberFormat="1" applyFont="1" applyFill="1" applyBorder="1" applyAlignment="1">
      <alignment horizontal="center" vertical="center" wrapText="1"/>
    </xf>
    <xf numFmtId="2" fontId="13" fillId="13" borderId="12" xfId="3" applyNumberFormat="1" applyFont="1" applyFill="1" applyBorder="1" applyAlignment="1">
      <alignment horizontal="center" vertical="center" wrapText="1"/>
    </xf>
    <xf numFmtId="2" fontId="13" fillId="9" borderId="12" xfId="3" applyNumberFormat="1" applyFont="1" applyFill="1" applyBorder="1" applyAlignment="1" applyProtection="1">
      <alignment horizontal="center" vertical="center" wrapText="1"/>
      <protection locked="0"/>
    </xf>
    <xf numFmtId="1" fontId="13" fillId="13" borderId="12" xfId="3" applyNumberFormat="1" applyFont="1" applyFill="1" applyBorder="1" applyAlignment="1">
      <alignment horizontal="center" vertical="center" wrapText="1"/>
    </xf>
    <xf numFmtId="0" fontId="73" fillId="0" borderId="0" xfId="3" applyFont="1" applyAlignment="1">
      <alignment horizontal="center" vertical="center" wrapText="1"/>
    </xf>
    <xf numFmtId="10" fontId="37" fillId="0" borderId="17" xfId="0" applyNumberFormat="1" applyFont="1" applyBorder="1" applyAlignment="1">
      <alignment horizontal="center"/>
    </xf>
    <xf numFmtId="0" fontId="0" fillId="0" borderId="19" xfId="0" applyBorder="1"/>
    <xf numFmtId="0" fontId="16" fillId="0" borderId="15" xfId="3" applyFont="1" applyBorder="1" applyAlignment="1">
      <alignment horizontal="center" vertical="center" wrapText="1"/>
    </xf>
    <xf numFmtId="0" fontId="0" fillId="0" borderId="33" xfId="0" applyBorder="1"/>
    <xf numFmtId="0" fontId="0" fillId="0" borderId="16" xfId="0" applyBorder="1"/>
    <xf numFmtId="0" fontId="16" fillId="0" borderId="0" xfId="3" applyFont="1" applyAlignment="1">
      <alignment horizontal="center" vertical="center" textRotation="90" wrapText="1"/>
    </xf>
    <xf numFmtId="0" fontId="27" fillId="0" borderId="0" xfId="3" applyFont="1">
      <alignment horizontal="left" vertical="center" wrapText="1" indent="1"/>
    </xf>
    <xf numFmtId="0" fontId="68" fillId="0" borderId="0" xfId="0" applyFont="1" applyAlignment="1">
      <alignment horizontal="left" vertical="center" wrapText="1"/>
    </xf>
    <xf numFmtId="0" fontId="0" fillId="0" borderId="0" xfId="0"/>
    <xf numFmtId="0" fontId="28" fillId="0" borderId="0" xfId="3" applyFont="1">
      <alignment horizontal="left" vertical="center" wrapText="1" indent="1"/>
    </xf>
    <xf numFmtId="0" fontId="24" fillId="0" borderId="0" xfId="3" applyFont="1">
      <alignment horizontal="left" vertical="center" wrapText="1" indent="1"/>
    </xf>
    <xf numFmtId="0" fontId="57" fillId="14" borderId="0" xfId="0" applyFont="1" applyFill="1" applyAlignment="1">
      <alignment horizontal="center" vertical="center" wrapText="1"/>
    </xf>
    <xf numFmtId="0" fontId="52" fillId="4" borderId="0" xfId="3" applyFont="1" applyFill="1" applyAlignment="1">
      <alignment horizontal="center" vertical="center" wrapText="1"/>
    </xf>
    <xf numFmtId="0" fontId="35" fillId="0" borderId="15" xfId="3" applyFont="1" applyBorder="1" applyAlignment="1">
      <alignment horizontal="center" vertical="center" wrapText="1"/>
    </xf>
    <xf numFmtId="0" fontId="0" fillId="0" borderId="18" xfId="0" applyBorder="1"/>
    <xf numFmtId="10" fontId="12" fillId="10" borderId="27" xfId="3" applyNumberFormat="1" applyFont="1" applyFill="1" applyBorder="1" applyAlignment="1">
      <alignment horizontal="center" vertical="center" wrapText="1"/>
    </xf>
    <xf numFmtId="0" fontId="0" fillId="0" borderId="27" xfId="0" applyBorder="1"/>
    <xf numFmtId="0" fontId="69" fillId="0" borderId="6" xfId="3" applyFont="1" applyBorder="1" applyAlignment="1">
      <alignment horizontal="center" vertical="center" wrapText="1"/>
    </xf>
    <xf numFmtId="0" fontId="70" fillId="0" borderId="14" xfId="0" applyFont="1" applyBorder="1"/>
    <xf numFmtId="0" fontId="10" fillId="0" borderId="15" xfId="3" applyFont="1" applyBorder="1" applyAlignment="1">
      <alignment horizontal="center" vertical="center" wrapText="1"/>
    </xf>
    <xf numFmtId="0" fontId="53" fillId="4" borderId="0" xfId="3" applyFont="1" applyFill="1" applyAlignment="1">
      <alignment horizontal="center" vertical="center" wrapText="1"/>
    </xf>
    <xf numFmtId="0" fontId="71" fillId="7" borderId="11" xfId="3" applyFont="1" applyFill="1" applyBorder="1" applyAlignment="1">
      <alignment horizontal="center" vertical="center" wrapText="1"/>
    </xf>
    <xf numFmtId="0" fontId="70" fillId="0" borderId="4" xfId="0" applyFont="1" applyBorder="1"/>
    <xf numFmtId="0" fontId="12" fillId="0" borderId="21" xfId="3" applyFont="1" applyBorder="1" applyAlignment="1">
      <alignment horizontal="center" vertical="center" wrapText="1"/>
    </xf>
    <xf numFmtId="0" fontId="0" fillId="0" borderId="21" xfId="0" applyBorder="1"/>
    <xf numFmtId="0" fontId="23" fillId="5" borderId="28" xfId="3" applyFont="1" applyFill="1" applyBorder="1" applyAlignment="1">
      <alignment horizontal="center" vertical="center" wrapText="1"/>
    </xf>
    <xf numFmtId="0" fontId="0" fillId="0" borderId="28" xfId="0" applyBorder="1"/>
    <xf numFmtId="0" fontId="27" fillId="0" borderId="15" xfId="3" applyFont="1" applyBorder="1" applyAlignment="1">
      <alignment horizontal="center" vertical="center" wrapText="1"/>
    </xf>
    <xf numFmtId="0" fontId="69" fillId="0" borderId="5" xfId="3" applyFont="1" applyBorder="1" applyAlignment="1">
      <alignment horizontal="center" vertical="center" wrapText="1"/>
    </xf>
    <xf numFmtId="0" fontId="70" fillId="0" borderId="7" xfId="0" applyFont="1" applyBorder="1"/>
    <xf numFmtId="0" fontId="38" fillId="4" borderId="0" xfId="3" applyFont="1" applyFill="1" applyAlignment="1">
      <alignment horizontal="center" vertical="center" wrapText="1"/>
    </xf>
    <xf numFmtId="0" fontId="59" fillId="4" borderId="0" xfId="3" applyFont="1" applyFill="1" applyAlignment="1">
      <alignment horizontal="center" vertical="center" wrapText="1"/>
    </xf>
    <xf numFmtId="0" fontId="49" fillId="0" borderId="0" xfId="3" applyFont="1" applyAlignment="1">
      <alignment horizontal="center" vertical="center" wrapText="1"/>
    </xf>
    <xf numFmtId="0" fontId="17" fillId="5" borderId="28" xfId="3" applyFont="1" applyFill="1" applyBorder="1" applyAlignment="1">
      <alignment horizontal="center" vertical="center" wrapText="1"/>
    </xf>
    <xf numFmtId="0" fontId="45" fillId="0" borderId="15" xfId="3" applyFont="1" applyBorder="1" applyAlignment="1">
      <alignment horizontal="center" vertical="center" wrapText="1"/>
    </xf>
    <xf numFmtId="0" fontId="55" fillId="0" borderId="5" xfId="3" applyFont="1" applyBorder="1" applyAlignment="1">
      <alignment horizontal="center" vertical="center" wrapText="1"/>
    </xf>
    <xf numFmtId="0" fontId="0" fillId="0" borderId="31" xfId="0" applyBorder="1"/>
    <xf numFmtId="0" fontId="0" fillId="0" borderId="8" xfId="0" applyBorder="1"/>
    <xf numFmtId="0" fontId="0" fillId="0" borderId="9" xfId="0" applyBorder="1"/>
    <xf numFmtId="0" fontId="0" fillId="0" borderId="24" xfId="0" applyBorder="1"/>
    <xf numFmtId="0" fontId="0" fillId="0" borderId="10" xfId="0" applyBorder="1"/>
    <xf numFmtId="0" fontId="41" fillId="0" borderId="5" xfId="3" applyFont="1" applyBorder="1" applyAlignment="1">
      <alignment horizontal="center" vertical="center" wrapText="1"/>
    </xf>
    <xf numFmtId="0" fontId="0" fillId="0" borderId="7" xfId="0" applyBorder="1"/>
    <xf numFmtId="0" fontId="45" fillId="0" borderId="0" xfId="3" applyFont="1">
      <alignment horizontal="left" vertical="center" wrapText="1" indent="1"/>
    </xf>
    <xf numFmtId="0" fontId="45" fillId="0" borderId="5" xfId="3" applyFont="1" applyBorder="1" applyAlignment="1">
      <alignment horizontal="center" vertical="center" wrapText="1"/>
    </xf>
    <xf numFmtId="0" fontId="58" fillId="6" borderId="0" xfId="3" applyFont="1" applyFill="1" applyAlignment="1">
      <alignment horizontal="center" vertical="center" wrapText="1"/>
    </xf>
    <xf numFmtId="0" fontId="46" fillId="0" borderId="0" xfId="3" applyFont="1" applyAlignment="1">
      <alignment horizontal="center" vertical="center" wrapText="1"/>
    </xf>
    <xf numFmtId="0" fontId="30" fillId="0" borderId="0" xfId="3" applyFont="1" applyAlignment="1">
      <alignment horizontal="center" vertical="center" wrapText="1"/>
    </xf>
  </cellXfs>
  <cellStyles count="14">
    <cellStyle name="Año" xfId="8" xr:uid="{00000000-0005-0000-0000-000008000000}"/>
    <cellStyle name="Currency" xfId="1" builtinId="4"/>
    <cellStyle name="Encabezado 1 2" xfId="10" xr:uid="{00000000-0005-0000-0000-00000A000000}"/>
    <cellStyle name="Encabezado 2 2" xfId="4" xr:uid="{00000000-0005-0000-0000-000004000000}"/>
    <cellStyle name="Entrada 2" xfId="5" xr:uid="{00000000-0005-0000-0000-000005000000}"/>
    <cellStyle name="Estilo 1" xfId="12" xr:uid="{00000000-0005-0000-0000-00000C000000}"/>
    <cellStyle name="Heading 2" xfId="9" builtinId="17"/>
    <cellStyle name="Moneda 2" xfId="13" xr:uid="{00000000-0005-0000-0000-00000D000000}"/>
    <cellStyle name="Normal" xfId="0" builtinId="0"/>
    <cellStyle name="Normal 2" xfId="2" xr:uid="{00000000-0005-0000-0000-000002000000}"/>
    <cellStyle name="Normal 3" xfId="3" xr:uid="{00000000-0005-0000-0000-000003000000}"/>
    <cellStyle name="Percent" xfId="11" builtinId="5"/>
    <cellStyle name="Porcentaje 2" xfId="7" xr:uid="{00000000-0005-0000-0000-000007000000}"/>
    <cellStyle name="Título 3 2" xfId="6" xr:uid="{00000000-0005-0000-0000-000006000000}"/>
  </cellStyles>
  <dxfs count="28">
    <dxf>
      <fill>
        <patternFill>
          <bgColor auto="1"/>
        </patternFill>
      </fill>
      <border>
        <top style="dotted">
          <color theme="5"/>
        </top>
        <bottom style="dotted">
          <color theme="5"/>
        </bottom>
        <horizontal style="dotted">
          <color theme="5"/>
        </horizontal>
      </border>
    </dxf>
    <dxf>
      <font>
        <color theme="0" tint="-4.9989318521683403E-2"/>
      </font>
      <fill>
        <patternFill>
          <bgColor theme="4" tint="0.79998168889431442"/>
        </patternFill>
      </fill>
      <border>
        <top/>
      </border>
    </dxf>
    <dxf>
      <font>
        <b/>
        <color theme="1"/>
      </font>
      <fill>
        <patternFill>
          <bgColor theme="4" tint="0.79998168889431442"/>
        </patternFill>
      </fill>
      <border>
        <left/>
        <right/>
        <top style="thick">
          <color theme="0"/>
        </top>
        <bottom style="thick">
          <color theme="0"/>
        </bottom>
        <vertical/>
        <horizontal/>
      </border>
    </dxf>
    <dxf>
      <border>
        <bottom style="medium">
          <color theme="7"/>
        </bottom>
      </border>
    </dxf>
    <dxf>
      <fill>
        <patternFill>
          <bgColor theme="0" tint="-4.9989318521683403E-2"/>
        </patternFill>
      </fill>
    </dxf>
    <dxf>
      <font>
        <b/>
        <color theme="1"/>
      </font>
      <fill>
        <patternFill>
          <bgColor theme="4" tint="0.79998168889431442"/>
        </patternFill>
      </fill>
      <border>
        <top/>
        <bottom style="thick">
          <color theme="4"/>
        </bottom>
        <vertical style="thin">
          <color theme="4" tint="0.59996337778862885"/>
        </vertical>
      </border>
    </dxf>
    <dxf>
      <font>
        <b/>
        <color theme="1"/>
      </font>
      <fill>
        <patternFill>
          <bgColor theme="4" tint="0.79998168889431442"/>
        </patternFill>
      </fill>
      <border>
        <left/>
        <right/>
        <top style="thick">
          <color theme="0"/>
        </top>
        <bottom style="thick">
          <color theme="0"/>
        </bottom>
        <vertical style="thin">
          <color theme="4" tint="0.59996337778862885"/>
        </vertical>
        <horizontal/>
      </border>
    </dxf>
    <dxf>
      <border>
        <left/>
        <bottom style="medium">
          <color theme="4"/>
        </bottom>
        <vertical style="thin">
          <color theme="4" tint="0.79998168889431442"/>
        </vertical>
      </border>
    </dxf>
    <dxf>
      <fill>
        <patternFill>
          <bgColor rgb="FFFFDC79"/>
        </patternFill>
      </fill>
    </dxf>
    <dxf>
      <fill>
        <patternFill>
          <bgColor auto="1"/>
        </patternFill>
      </fill>
    </dxf>
    <dxf>
      <fill>
        <patternFill>
          <bgColor theme="6" tint="-0.24994659260841701"/>
        </patternFill>
      </fill>
    </dxf>
    <dxf>
      <fill>
        <patternFill>
          <bgColor theme="6" tint="-0.24994659260841701"/>
        </patternFill>
      </fill>
    </dxf>
    <dxf>
      <border>
        <left style="medium">
          <color theme="6" tint="-0.499984740745262"/>
        </left>
        <right style="medium">
          <color theme="6" tint="-0.499984740745262"/>
        </right>
        <top style="thin">
          <color theme="6" tint="-0.24994659260841701"/>
        </top>
        <bottom style="medium">
          <color theme="6" tint="-0.499984740745262"/>
        </bottom>
        <vertical style="medium">
          <color theme="6" tint="-0.499984740745262"/>
        </vertical>
        <horizontal style="hair">
          <color theme="6" tint="-0.24994659260841701"/>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01"/>
        </patternFill>
      </fill>
    </dxf>
    <dxf>
      <fill>
        <patternFill>
          <bgColor rgb="FFFFFFFF"/>
        </patternFill>
      </fill>
      <border diagonalDown="1">
        <left style="mediumDashed">
          <color theme="6" tint="-0.24994659260841701"/>
        </left>
        <right style="mediumDashed">
          <color theme="6" tint="-0.24994659260841701"/>
        </right>
        <diagonal style="medium">
          <color rgb="FFC00000"/>
        </diagonal>
        <vertical style="mediumDashed">
          <color theme="6" tint="-0.24994659260841701"/>
        </vertical>
        <horizontal style="mediumDashed">
          <color theme="6" tint="-0.24994659260841701"/>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xr9:uid="{00000000-0011-0000-FFFF-FFFF00000000}">
      <tableStyleElement type="secondColumnStripe" dxfId="27"/>
    </tableStyle>
    <tableStyle name="Estilo de tabla 2" pivot="0" count="5" xr9:uid="{00000000-0011-0000-FFFF-FFFF01000000}">
      <tableStyleElement type="wholeTable" dxfId="26"/>
      <tableStyleElement type="headerRow" dxfId="25"/>
      <tableStyleElement type="totalRow" dxfId="24"/>
      <tableStyleElement type="firstTotalCell" dxfId="23"/>
      <tableStyleElement type="lastTotalCell" dxfId="22"/>
    </tableStyle>
    <tableStyle name="Estilo de tabla 3" pivot="0" count="4" xr9:uid="{00000000-0011-0000-FFFF-FFFF02000000}">
      <tableStyleElement type="wholeTable" dxfId="21"/>
      <tableStyleElement type="headerRow" dxfId="20"/>
      <tableStyleElement type="totalRow" dxfId="19"/>
      <tableStyleElement type="firstRowStripe" dxfId="18"/>
    </tableStyle>
    <tableStyle name="Estilo de tabla 4" pivot="0" count="4" xr9:uid="{00000000-0011-0000-FFFF-FFFF03000000}">
      <tableStyleElement type="wholeTable" dxfId="17"/>
      <tableStyleElement type="headerRow" dxfId="16"/>
      <tableStyleElement type="totalRow" dxfId="15"/>
      <tableStyleElement type="firstRowStripe" dxfId="14"/>
    </tableStyle>
    <tableStyle name="Estilo de tabla 5" pivot="0" count="1" xr9:uid="{00000000-0011-0000-FFFF-FFFF04000000}">
      <tableStyleElement type="firstRowStripe" dxfId="13"/>
    </tableStyle>
    <tableStyle name="Estilo de tabla 6" pivot="0" count="4" xr9:uid="{00000000-0011-0000-FFFF-FFFF05000000}">
      <tableStyleElement type="wholeTable" dxfId="12"/>
      <tableStyleElement type="headerRow" dxfId="11"/>
      <tableStyleElement type="totalRow" dxfId="10"/>
      <tableStyleElement type="firstRowStripe" dxfId="9"/>
    </tableStyle>
    <tableStyle name="Estilo de tabla dinámica 1" table="0" count="1" xr9:uid="{00000000-0011-0000-FFFF-FFFF06000000}">
      <tableStyleElement type="firstRowStripe" dxfId="8"/>
    </tableStyle>
    <tableStyle name="Presupuesto mensual simple 2" pivot="0" count="4" xr9:uid="{00000000-0011-0000-FFFF-FFFF07000000}">
      <tableStyleElement type="wholeTable" dxfId="7"/>
      <tableStyleElement type="headerRow" dxfId="6"/>
      <tableStyleElement type="totalRow" dxfId="5"/>
      <tableStyleElement type="firstRowStripe" dxfId="4"/>
    </tableStyle>
    <tableStyle name="Presupuesto mensual simple 2 2" pivot="0" count="4" xr9:uid="{00000000-0011-0000-FFFF-FFFF08000000}">
      <tableStyleElement type="wholeTable" dxfId="3"/>
      <tableStyleElement type="headerRow" dxfId="2"/>
      <tableStyleElement type="total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C00000"/>
    <pageSetUpPr fitToPage="1"/>
  </sheetPr>
  <dimension ref="A1:AR91"/>
  <sheetViews>
    <sheetView showGridLines="0" tabSelected="1" zoomScale="20" zoomScaleNormal="20" zoomScaleSheetLayoutView="50" workbookViewId="0">
      <selection activeCell="G3" sqref="G1:G1048576"/>
    </sheetView>
  </sheetViews>
  <sheetFormatPr baseColWidth="10" defaultColWidth="8.83203125" defaultRowHeight="60"/>
  <cols>
    <col min="1" max="1" width="4.6640625" style="1" customWidth="1"/>
    <col min="2" max="2" width="127.6640625" style="8" bestFit="1" customWidth="1"/>
    <col min="3" max="3" width="43.5" style="8" bestFit="1" customWidth="1"/>
    <col min="4" max="4" width="40.1640625" style="8" bestFit="1" customWidth="1"/>
    <col min="5" max="5" width="24.33203125" style="8" customWidth="1"/>
    <col min="6" max="6" width="30.1640625" style="8" bestFit="1" customWidth="1"/>
    <col min="7" max="7" width="60.1640625" style="8" bestFit="1" customWidth="1"/>
    <col min="8" max="8" width="104.6640625" style="8" bestFit="1" customWidth="1"/>
    <col min="9" max="9" width="50.1640625" bestFit="1" customWidth="1"/>
    <col min="10" max="10" width="73.5" style="8" bestFit="1" customWidth="1"/>
    <col min="11" max="11" width="121.33203125" style="8" bestFit="1" customWidth="1"/>
    <col min="12" max="12" width="48.83203125" bestFit="1" customWidth="1"/>
    <col min="13" max="13" width="56.83203125" bestFit="1" customWidth="1"/>
    <col min="14" max="14" width="55.5" bestFit="1" customWidth="1"/>
    <col min="15" max="15" width="48.5" bestFit="1" customWidth="1"/>
    <col min="16" max="16" width="25.1640625" bestFit="1" customWidth="1"/>
    <col min="17" max="17" width="18.5" bestFit="1" customWidth="1"/>
    <col min="18" max="18" width="52.6640625" bestFit="1" customWidth="1"/>
    <col min="19" max="20" width="13" customWidth="1"/>
    <col min="21" max="21" width="51.83203125" style="9" customWidth="1"/>
    <col min="22" max="22" width="50.5" style="9" customWidth="1"/>
    <col min="23" max="26" width="13" customWidth="1"/>
    <col min="27" max="27" width="26.83203125" style="8" bestFit="1" customWidth="1"/>
    <col min="28" max="28" width="19.33203125" bestFit="1" customWidth="1"/>
    <col min="29" max="29" width="50.5" style="9" customWidth="1"/>
    <col min="30" max="30" width="13" customWidth="1"/>
    <col min="31" max="31" width="76.5" style="9" customWidth="1"/>
    <col min="32" max="32" width="191.83203125" style="6" bestFit="1" customWidth="1"/>
    <col min="33" max="33" width="50.5" style="9" customWidth="1"/>
    <col min="34" max="34" width="45.1640625" style="8" bestFit="1" customWidth="1"/>
    <col min="35" max="35" width="49.6640625" style="8" bestFit="1" customWidth="1"/>
    <col min="36" max="37" width="50.5" style="8" hidden="1" customWidth="1"/>
    <col min="38" max="39" width="50.5" style="8" customWidth="1"/>
    <col min="40" max="40" width="52.6640625" style="8" bestFit="1" customWidth="1"/>
    <col min="41" max="42" width="25.1640625" style="8" bestFit="1" customWidth="1"/>
    <col min="43" max="43" width="11.83203125" style="8" bestFit="1" customWidth="1"/>
    <col min="44" max="44" width="11.83203125" style="13" bestFit="1" customWidth="1"/>
    <col min="45" max="52" width="50.5" style="1" customWidth="1"/>
    <col min="53" max="54" width="8.83203125" style="1" customWidth="1"/>
    <col min="55" max="16384" width="8.83203125" style="1"/>
  </cols>
  <sheetData>
    <row r="1" spans="1:44" ht="160" customHeight="1">
      <c r="B1" s="207" t="s">
        <v>0</v>
      </c>
      <c r="C1" s="202"/>
      <c r="D1" s="202"/>
      <c r="E1" s="202"/>
      <c r="F1" s="202"/>
      <c r="G1" s="202"/>
      <c r="H1" s="202"/>
      <c r="I1" s="204"/>
      <c r="J1" s="202"/>
      <c r="K1" s="202"/>
      <c r="L1" s="204"/>
      <c r="M1" s="204"/>
      <c r="N1" s="204"/>
      <c r="O1" s="204"/>
      <c r="P1" s="71"/>
      <c r="Q1" s="72"/>
    </row>
    <row r="2" spans="1:44" ht="87.75" customHeight="1">
      <c r="B2" s="227" t="s">
        <v>1</v>
      </c>
      <c r="C2" s="202"/>
      <c r="D2" s="202"/>
      <c r="E2" s="202"/>
      <c r="F2" s="202"/>
      <c r="G2" s="202"/>
      <c r="H2" s="202"/>
      <c r="I2" s="204"/>
      <c r="J2" s="202"/>
      <c r="K2" s="202"/>
      <c r="L2" s="204"/>
      <c r="M2" s="204"/>
      <c r="N2" s="204"/>
      <c r="O2" s="204"/>
    </row>
    <row r="3" spans="1:44" ht="87.75" customHeight="1">
      <c r="B3" s="79"/>
      <c r="C3" s="79"/>
      <c r="D3" s="155"/>
      <c r="E3" s="156"/>
      <c r="F3" s="156"/>
      <c r="G3" s="156"/>
      <c r="H3" s="156"/>
      <c r="I3" s="156"/>
      <c r="J3" s="156"/>
      <c r="K3" s="156"/>
      <c r="L3" s="156"/>
      <c r="M3" s="156"/>
      <c r="N3" s="77"/>
      <c r="O3" s="77"/>
    </row>
    <row r="4" spans="1:44" ht="79.5" customHeight="1">
      <c r="D4" s="157"/>
      <c r="E4" s="157"/>
      <c r="F4" s="158"/>
      <c r="G4" s="162"/>
      <c r="H4" s="70" t="s">
        <v>2</v>
      </c>
      <c r="I4" s="69"/>
      <c r="J4" s="159"/>
      <c r="K4" s="70" t="s">
        <v>3</v>
      </c>
      <c r="L4" s="65"/>
      <c r="M4" s="157"/>
    </row>
    <row r="5" spans="1:44" ht="15.75" customHeight="1" thickBot="1">
      <c r="A5" s="2"/>
      <c r="B5" s="219"/>
      <c r="C5" s="220"/>
      <c r="D5" s="80"/>
      <c r="E5" s="80"/>
      <c r="F5" s="80"/>
      <c r="G5" s="80"/>
      <c r="H5" s="80"/>
      <c r="I5" s="80"/>
      <c r="J5" s="80"/>
      <c r="K5" s="47"/>
      <c r="L5" s="80"/>
      <c r="M5" s="78"/>
      <c r="N5" s="78"/>
      <c r="O5" s="78"/>
      <c r="P5" s="10"/>
      <c r="Q5" s="10"/>
      <c r="R5" s="10"/>
      <c r="S5" s="10"/>
      <c r="T5" s="10"/>
    </row>
    <row r="6" spans="1:44" ht="18.75" hidden="1" customHeight="1">
      <c r="B6" s="60"/>
      <c r="C6" s="60"/>
      <c r="D6" s="60"/>
      <c r="E6" s="60"/>
      <c r="F6" s="60"/>
      <c r="G6" s="60"/>
      <c r="H6" s="60"/>
      <c r="I6" s="60"/>
      <c r="J6" s="60"/>
      <c r="K6" s="60"/>
      <c r="L6" s="60"/>
      <c r="M6" s="60"/>
      <c r="N6" s="60"/>
      <c r="O6" s="60"/>
    </row>
    <row r="7" spans="1:44" ht="75.75" hidden="1" customHeight="1">
      <c r="B7" s="60"/>
      <c r="C7" s="60"/>
      <c r="D7" s="60"/>
      <c r="E7" s="60"/>
      <c r="F7" s="60"/>
      <c r="G7" s="60"/>
      <c r="H7" s="81" t="s">
        <v>4</v>
      </c>
      <c r="I7" s="81"/>
      <c r="J7" s="5"/>
      <c r="K7" s="60"/>
      <c r="L7" s="60"/>
      <c r="M7" s="60"/>
      <c r="N7" s="60"/>
      <c r="O7" s="60"/>
      <c r="P7" s="209"/>
      <c r="Q7" s="210"/>
      <c r="R7" s="28">
        <v>2025</v>
      </c>
      <c r="S7" s="30"/>
      <c r="AP7" s="16"/>
      <c r="AQ7" s="16"/>
      <c r="AR7" s="16"/>
    </row>
    <row r="8" spans="1:44" ht="70" hidden="1" customHeight="1">
      <c r="B8" s="201" t="s">
        <v>5</v>
      </c>
      <c r="C8" s="60"/>
      <c r="D8" s="215" t="s">
        <v>6</v>
      </c>
      <c r="E8" s="210"/>
      <c r="F8" s="5"/>
      <c r="G8" s="5"/>
      <c r="H8" s="82" t="s">
        <v>7</v>
      </c>
      <c r="I8" s="83" t="s">
        <v>8</v>
      </c>
      <c r="J8" s="84"/>
      <c r="K8" s="60"/>
      <c r="L8" s="60"/>
      <c r="M8" s="60"/>
      <c r="N8" s="60"/>
      <c r="O8" s="60"/>
      <c r="P8" s="26" t="s">
        <v>9</v>
      </c>
      <c r="Q8" s="26" t="s">
        <v>10</v>
      </c>
      <c r="R8" s="26" t="s">
        <v>11</v>
      </c>
      <c r="S8" s="11"/>
      <c r="AN8" s="29" t="s">
        <v>12</v>
      </c>
      <c r="AO8" s="196" t="s">
        <v>13</v>
      </c>
      <c r="AP8" s="197"/>
      <c r="AQ8" s="197"/>
      <c r="AR8" s="197"/>
    </row>
    <row r="9" spans="1:44" ht="50.25" hidden="1" customHeight="1">
      <c r="B9" s="202"/>
      <c r="C9" s="60"/>
      <c r="D9" s="114" t="s">
        <v>14</v>
      </c>
      <c r="E9" s="114">
        <v>315.04000000000002</v>
      </c>
      <c r="F9" s="85"/>
      <c r="G9" s="85"/>
      <c r="H9" s="82">
        <v>1</v>
      </c>
      <c r="I9" s="86">
        <v>1.0492999999999999</v>
      </c>
      <c r="J9" s="87"/>
      <c r="K9" s="60"/>
      <c r="L9" s="60"/>
      <c r="M9" s="60"/>
      <c r="N9" s="60"/>
      <c r="O9" s="60"/>
      <c r="P9" s="26">
        <v>746.04</v>
      </c>
      <c r="Q9" s="26">
        <v>0</v>
      </c>
      <c r="R9" s="26">
        <v>1.92</v>
      </c>
      <c r="S9" s="11"/>
      <c r="AH9" s="209" t="s">
        <v>15</v>
      </c>
      <c r="AI9" s="210"/>
      <c r="AK9" s="18"/>
      <c r="AL9" s="18"/>
      <c r="AN9" s="20"/>
      <c r="AO9" s="21"/>
      <c r="AP9" s="23"/>
      <c r="AQ9" s="24">
        <v>2023</v>
      </c>
      <c r="AR9" s="24">
        <v>2024</v>
      </c>
    </row>
    <row r="10" spans="1:44" ht="50.25" hidden="1" customHeight="1">
      <c r="B10" s="202"/>
      <c r="C10" s="60"/>
      <c r="D10" s="118" t="s">
        <v>16</v>
      </c>
      <c r="E10" s="118">
        <v>117.31</v>
      </c>
      <c r="F10" s="88"/>
      <c r="G10" s="88"/>
      <c r="H10" s="82">
        <v>2</v>
      </c>
      <c r="I10" s="89">
        <v>1.0507</v>
      </c>
      <c r="J10" s="90"/>
      <c r="K10" s="60"/>
      <c r="L10" s="60"/>
      <c r="M10" s="60"/>
      <c r="N10" s="60"/>
      <c r="O10" s="60"/>
      <c r="P10" s="26">
        <v>6332.05</v>
      </c>
      <c r="Q10" s="26">
        <v>14.32</v>
      </c>
      <c r="R10" s="26">
        <v>6.4</v>
      </c>
      <c r="S10" s="11"/>
      <c r="AA10" s="209" t="s">
        <v>17</v>
      </c>
      <c r="AB10" s="210"/>
      <c r="AH10" s="19" t="s">
        <v>18</v>
      </c>
      <c r="AI10" s="19" t="s">
        <v>19</v>
      </c>
      <c r="AN10" s="14">
        <v>1</v>
      </c>
      <c r="AO10" s="25"/>
      <c r="AP10" s="22" t="s">
        <v>20</v>
      </c>
      <c r="AQ10" s="15">
        <v>3.15E-2</v>
      </c>
      <c r="AR10" s="15">
        <v>3.15E-2</v>
      </c>
    </row>
    <row r="11" spans="1:44" ht="50.25" hidden="1" customHeight="1">
      <c r="B11" s="202"/>
      <c r="C11" s="60"/>
      <c r="D11" s="118" t="s">
        <v>21</v>
      </c>
      <c r="E11" s="118">
        <v>351.93</v>
      </c>
      <c r="F11" s="88"/>
      <c r="G11" s="88"/>
      <c r="H11" s="82">
        <v>3</v>
      </c>
      <c r="I11" s="89">
        <v>1.0521</v>
      </c>
      <c r="J11" s="90"/>
      <c r="K11" s="60"/>
      <c r="L11" s="60"/>
      <c r="M11" s="60"/>
      <c r="N11" s="60"/>
      <c r="O11" s="60"/>
      <c r="P11" s="26">
        <v>11128.01</v>
      </c>
      <c r="Q11" s="26">
        <v>371.83</v>
      </c>
      <c r="R11" s="26">
        <v>10.88</v>
      </c>
      <c r="S11" s="11"/>
      <c r="AA11" s="223" t="s">
        <v>22</v>
      </c>
      <c r="AB11" s="210"/>
      <c r="AH11" s="17" t="s">
        <v>23</v>
      </c>
      <c r="AI11" s="17">
        <v>59</v>
      </c>
      <c r="AN11" s="14">
        <v>1.01</v>
      </c>
      <c r="AO11" s="25">
        <v>1.5</v>
      </c>
      <c r="AP11" s="22" t="s">
        <v>24</v>
      </c>
      <c r="AQ11" s="15">
        <v>3.2809999999999999E-2</v>
      </c>
      <c r="AR11" s="15">
        <v>3.4130000000000001E-2</v>
      </c>
    </row>
    <row r="12" spans="1:44" ht="50.25" hidden="1" customHeight="1">
      <c r="B12" s="202"/>
      <c r="C12" s="60"/>
      <c r="D12" s="118" t="s">
        <v>25</v>
      </c>
      <c r="E12" s="121">
        <v>30</v>
      </c>
      <c r="F12" s="88"/>
      <c r="G12" s="88"/>
      <c r="H12" s="82">
        <v>4</v>
      </c>
      <c r="I12" s="89">
        <v>1.0533999999999999</v>
      </c>
      <c r="J12" s="90"/>
      <c r="K12" s="60"/>
      <c r="L12" s="60"/>
      <c r="M12" s="60"/>
      <c r="N12" s="60"/>
      <c r="O12" s="60"/>
      <c r="P12" s="26">
        <v>12935.82</v>
      </c>
      <c r="Q12" s="26">
        <v>893.63</v>
      </c>
      <c r="R12" s="26">
        <v>16</v>
      </c>
      <c r="S12" s="11"/>
      <c r="AA12" s="26" t="s">
        <v>26</v>
      </c>
      <c r="AB12" s="26" t="s">
        <v>27</v>
      </c>
      <c r="AH12" s="17" t="s">
        <v>28</v>
      </c>
      <c r="AI12" s="17">
        <v>61</v>
      </c>
      <c r="AN12" s="14">
        <v>1.51</v>
      </c>
      <c r="AO12" s="25">
        <v>2</v>
      </c>
      <c r="AP12" s="22" t="s">
        <v>29</v>
      </c>
      <c r="AQ12" s="15">
        <v>3.5749999999999997E-2</v>
      </c>
      <c r="AR12" s="15">
        <v>0.04</v>
      </c>
    </row>
    <row r="13" spans="1:44" ht="50.25" hidden="1" customHeight="1">
      <c r="B13" s="202"/>
      <c r="C13" s="60"/>
      <c r="D13" s="118" t="s">
        <v>30</v>
      </c>
      <c r="E13" s="123">
        <v>0.25</v>
      </c>
      <c r="F13" s="91"/>
      <c r="G13" s="91"/>
      <c r="H13" s="82">
        <v>5</v>
      </c>
      <c r="I13" s="89">
        <v>1.0548</v>
      </c>
      <c r="J13" s="90"/>
      <c r="K13" s="60"/>
      <c r="L13" s="60"/>
      <c r="M13" s="60"/>
      <c r="N13" s="60"/>
      <c r="O13" s="60"/>
      <c r="P13" s="26">
        <v>15487.71</v>
      </c>
      <c r="Q13" s="26">
        <v>1182.8800000000001</v>
      </c>
      <c r="R13" s="26">
        <v>17.920000000000002</v>
      </c>
      <c r="S13" s="11"/>
      <c r="AA13" s="26" t="s">
        <v>31</v>
      </c>
      <c r="AB13" s="27">
        <v>0.54354999999999998</v>
      </c>
      <c r="AH13" s="17" t="s">
        <v>32</v>
      </c>
      <c r="AI13" s="17">
        <v>61</v>
      </c>
      <c r="AN13" s="14">
        <v>2.0099999999999998</v>
      </c>
      <c r="AO13" s="25">
        <v>2.5</v>
      </c>
      <c r="AP13" s="22" t="s">
        <v>29</v>
      </c>
      <c r="AQ13" s="15">
        <v>3.7510000000000002E-2</v>
      </c>
      <c r="AR13" s="15">
        <v>4.3529999999999999E-2</v>
      </c>
    </row>
    <row r="14" spans="1:44" ht="50.25" hidden="1" customHeight="1">
      <c r="B14" s="202"/>
      <c r="C14" s="60"/>
      <c r="D14" s="118" t="s">
        <v>33</v>
      </c>
      <c r="E14" s="118">
        <v>30</v>
      </c>
      <c r="F14" s="88"/>
      <c r="G14" s="88"/>
      <c r="H14" s="82" t="s">
        <v>34</v>
      </c>
      <c r="I14" s="89">
        <v>1.0562</v>
      </c>
      <c r="J14" s="90"/>
      <c r="K14" s="60"/>
      <c r="L14" s="60"/>
      <c r="M14" s="60"/>
      <c r="N14" s="60"/>
      <c r="O14" s="60"/>
      <c r="P14" s="26">
        <v>31236.49</v>
      </c>
      <c r="Q14" s="26">
        <v>1640.48</v>
      </c>
      <c r="R14" s="26">
        <v>21.36</v>
      </c>
      <c r="S14" s="11"/>
      <c r="AA14" s="26" t="s">
        <v>35</v>
      </c>
      <c r="AB14" s="26">
        <v>1.1306499999999999</v>
      </c>
      <c r="AH14" s="17" t="s">
        <v>36</v>
      </c>
      <c r="AI14" s="17">
        <v>62</v>
      </c>
      <c r="AN14" s="14">
        <v>2.5099999999999998</v>
      </c>
      <c r="AO14" s="25">
        <v>3</v>
      </c>
      <c r="AP14" s="22" t="s">
        <v>29</v>
      </c>
      <c r="AQ14" s="15">
        <v>3.8690000000000002E-2</v>
      </c>
      <c r="AR14" s="15">
        <v>4.5879999999999997E-2</v>
      </c>
    </row>
    <row r="15" spans="1:44" ht="50.25" hidden="1" customHeight="1">
      <c r="B15" s="202"/>
      <c r="C15" s="60"/>
      <c r="D15" s="118" t="s">
        <v>37</v>
      </c>
      <c r="E15" s="121">
        <v>12</v>
      </c>
      <c r="F15" s="88"/>
      <c r="G15" s="88"/>
      <c r="H15" s="82" t="s">
        <v>38</v>
      </c>
      <c r="I15" s="89">
        <v>1.0575000000000001</v>
      </c>
      <c r="J15" s="90"/>
      <c r="K15" s="60"/>
      <c r="L15" s="60"/>
      <c r="M15" s="60"/>
      <c r="N15" s="60"/>
      <c r="O15" s="60"/>
      <c r="P15" s="26">
        <v>49233</v>
      </c>
      <c r="Q15" s="26">
        <v>5004.12</v>
      </c>
      <c r="R15" s="26">
        <v>23.52</v>
      </c>
      <c r="S15" s="11"/>
      <c r="AA15" s="26" t="s">
        <v>39</v>
      </c>
      <c r="AB15" s="26">
        <v>2.5983999999999998</v>
      </c>
      <c r="AH15" s="17" t="s">
        <v>40</v>
      </c>
      <c r="AI15" s="17">
        <v>61</v>
      </c>
      <c r="AN15" s="14">
        <v>3.01</v>
      </c>
      <c r="AO15" s="25">
        <v>3.5</v>
      </c>
      <c r="AP15" s="22" t="s">
        <v>29</v>
      </c>
      <c r="AQ15" s="15">
        <v>3.9530000000000003E-2</v>
      </c>
      <c r="AR15" s="15">
        <v>4.7559999999999998E-2</v>
      </c>
    </row>
    <row r="16" spans="1:44" ht="50.25" hidden="1" customHeight="1">
      <c r="B16" s="202"/>
      <c r="C16" s="60"/>
      <c r="D16" s="125" t="s">
        <v>41</v>
      </c>
      <c r="E16" s="126">
        <v>15</v>
      </c>
      <c r="F16" s="92"/>
      <c r="G16" s="92"/>
      <c r="H16" s="82" t="s">
        <v>42</v>
      </c>
      <c r="I16" s="89">
        <v>1.0589</v>
      </c>
      <c r="J16" s="90"/>
      <c r="K16" s="60"/>
      <c r="L16" s="60"/>
      <c r="M16" s="60"/>
      <c r="N16" s="60"/>
      <c r="O16" s="60"/>
      <c r="P16" s="26">
        <v>93993.9</v>
      </c>
      <c r="Q16" s="26">
        <v>9236.89</v>
      </c>
      <c r="R16" s="26">
        <v>30</v>
      </c>
      <c r="S16" s="11"/>
      <c r="AA16" s="26" t="s">
        <v>43</v>
      </c>
      <c r="AB16" s="26">
        <v>4.6532499999999999</v>
      </c>
      <c r="AH16" s="17" t="s">
        <v>44</v>
      </c>
      <c r="AI16" s="17">
        <v>61</v>
      </c>
      <c r="AN16" s="14">
        <v>3.51</v>
      </c>
      <c r="AO16" s="25">
        <v>4</v>
      </c>
      <c r="AP16" s="22" t="s">
        <v>29</v>
      </c>
      <c r="AQ16" s="15">
        <v>4.0160000000000001E-2</v>
      </c>
      <c r="AR16" s="15">
        <v>4.8820000000000002E-2</v>
      </c>
    </row>
    <row r="17" spans="1:44" ht="50.25" hidden="1" customHeight="1">
      <c r="B17" s="202"/>
      <c r="C17" s="60"/>
      <c r="D17" s="60"/>
      <c r="E17" s="60"/>
      <c r="F17" s="60"/>
      <c r="G17" s="60"/>
      <c r="H17" s="82" t="s">
        <v>45</v>
      </c>
      <c r="I17" s="89">
        <v>1.0603</v>
      </c>
      <c r="J17" s="90"/>
      <c r="K17" s="60"/>
      <c r="L17" s="60"/>
      <c r="M17" s="60"/>
      <c r="N17" s="60"/>
      <c r="O17" s="60"/>
      <c r="P17" s="26">
        <v>125325.2</v>
      </c>
      <c r="Q17" s="26">
        <v>22665.17</v>
      </c>
      <c r="R17" s="26">
        <v>32</v>
      </c>
      <c r="S17" s="11"/>
      <c r="AA17" s="26" t="s">
        <v>46</v>
      </c>
      <c r="AB17" s="26">
        <v>7.5887500000000001</v>
      </c>
      <c r="AN17" s="14">
        <v>4.01</v>
      </c>
      <c r="AO17" s="25" t="s">
        <v>47</v>
      </c>
      <c r="AP17" s="22" t="s">
        <v>48</v>
      </c>
      <c r="AQ17" s="15">
        <v>4.2410000000000003E-2</v>
      </c>
      <c r="AR17" s="15">
        <v>5.3310000000000003E-2</v>
      </c>
    </row>
    <row r="18" spans="1:44" ht="50.25" hidden="1" customHeight="1">
      <c r="B18" s="60"/>
      <c r="C18" s="60"/>
      <c r="D18" s="60"/>
      <c r="E18" s="60"/>
      <c r="F18" s="60"/>
      <c r="G18" s="60"/>
      <c r="H18" s="82" t="s">
        <v>49</v>
      </c>
      <c r="I18" s="89">
        <v>1.0616000000000001</v>
      </c>
      <c r="J18" s="90"/>
      <c r="K18" s="60"/>
      <c r="L18" s="60"/>
      <c r="M18" s="60"/>
      <c r="N18" s="60"/>
      <c r="O18" s="60"/>
      <c r="P18" s="26">
        <v>375975.61</v>
      </c>
      <c r="Q18" s="26">
        <v>32691.18</v>
      </c>
      <c r="R18" s="26">
        <v>34</v>
      </c>
      <c r="S18" s="11"/>
    </row>
    <row r="19" spans="1:44" ht="50.25" hidden="1" customHeight="1">
      <c r="B19" s="2"/>
      <c r="C19" s="2"/>
      <c r="D19" s="60"/>
      <c r="E19" s="60"/>
      <c r="F19" s="60"/>
      <c r="G19" s="60"/>
      <c r="H19" s="82" t="s">
        <v>50</v>
      </c>
      <c r="I19" s="89">
        <v>1.0629999999999999</v>
      </c>
      <c r="J19" s="90"/>
      <c r="K19" s="60"/>
      <c r="L19" s="60"/>
      <c r="M19" s="60"/>
      <c r="N19" s="60"/>
      <c r="O19" s="60"/>
      <c r="P19" s="26" t="s">
        <v>47</v>
      </c>
      <c r="Q19" s="26">
        <v>117912.32000000001</v>
      </c>
      <c r="R19" s="26">
        <v>35</v>
      </c>
      <c r="S19" s="11"/>
      <c r="AB19" s="1"/>
    </row>
    <row r="20" spans="1:44" ht="33.75" customHeight="1" thickTop="1" thickBot="1">
      <c r="B20" s="76"/>
      <c r="C20" s="76"/>
      <c r="D20" s="60"/>
      <c r="E20" s="60"/>
      <c r="F20" s="60"/>
      <c r="G20" s="60"/>
      <c r="H20" s="60"/>
      <c r="I20" s="60"/>
      <c r="J20" s="90"/>
      <c r="K20" s="60"/>
      <c r="L20" s="60"/>
      <c r="M20" s="60"/>
      <c r="N20" s="60"/>
      <c r="O20" s="60"/>
      <c r="P20" s="11"/>
      <c r="Q20" s="11"/>
      <c r="R20" s="11"/>
      <c r="S20" s="11"/>
      <c r="AB20" s="11"/>
      <c r="AI20" s="31" t="s">
        <v>51</v>
      </c>
    </row>
    <row r="21" spans="1:44" ht="50.25" customHeight="1" thickBot="1">
      <c r="B21" s="173" t="s">
        <v>52</v>
      </c>
      <c r="C21" s="173" t="s">
        <v>53</v>
      </c>
      <c r="D21" s="60"/>
      <c r="E21" s="60"/>
      <c r="F21" s="60"/>
      <c r="G21" s="60"/>
      <c r="H21" s="60"/>
      <c r="I21" s="60"/>
      <c r="J21" s="90"/>
      <c r="K21" s="60"/>
      <c r="L21" s="60"/>
      <c r="M21" s="60"/>
      <c r="N21" s="60"/>
      <c r="O21" s="60"/>
      <c r="P21" s="13"/>
      <c r="Q21" s="13"/>
      <c r="R21" s="13"/>
      <c r="S21" s="13"/>
      <c r="T21" s="13"/>
      <c r="U21" s="1"/>
      <c r="V21" s="1"/>
      <c r="W21" s="1"/>
      <c r="X21" s="1"/>
      <c r="Y21" s="1"/>
      <c r="Z21" s="1"/>
      <c r="AA21" s="1"/>
      <c r="AB21" s="1"/>
      <c r="AC21" s="1"/>
      <c r="AD21" s="1"/>
      <c r="AE21" s="1"/>
      <c r="AG21" s="1"/>
      <c r="AH21" s="1"/>
      <c r="AI21" s="1"/>
      <c r="AJ21" s="1"/>
      <c r="AK21" s="1"/>
      <c r="AL21" s="1"/>
      <c r="AM21" s="1"/>
      <c r="AN21" s="1"/>
      <c r="AO21" s="1"/>
      <c r="AP21" s="1"/>
      <c r="AQ21" s="1"/>
      <c r="AR21" s="1"/>
    </row>
    <row r="22" spans="1:44" ht="69.75" customHeight="1" thickBot="1">
      <c r="B22" s="174" t="s">
        <v>54</v>
      </c>
      <c r="C22" s="175">
        <v>46023</v>
      </c>
      <c r="D22" s="60"/>
      <c r="E22" s="60"/>
      <c r="F22" s="60"/>
      <c r="G22" s="60"/>
      <c r="H22" s="60"/>
      <c r="I22" s="60"/>
      <c r="J22" s="60"/>
      <c r="K22" s="60"/>
      <c r="L22" s="93" t="s">
        <v>55</v>
      </c>
      <c r="M22" s="93" t="s">
        <v>56</v>
      </c>
      <c r="N22" s="93" t="s">
        <v>57</v>
      </c>
      <c r="O22" s="60"/>
      <c r="P22" s="13"/>
      <c r="Q22" s="1"/>
      <c r="R22" s="228"/>
      <c r="S22" s="204"/>
      <c r="T22" s="204"/>
      <c r="U22" s="1"/>
      <c r="V22" s="1"/>
      <c r="W22" s="1"/>
      <c r="X22" s="1"/>
      <c r="Y22" s="1"/>
      <c r="Z22" s="1"/>
      <c r="AA22" s="1"/>
      <c r="AB22" s="1"/>
      <c r="AC22" s="1"/>
      <c r="AD22" s="1"/>
      <c r="AE22" s="1"/>
      <c r="AG22" s="1"/>
      <c r="AH22" s="1"/>
      <c r="AI22" s="1"/>
      <c r="AJ22" s="1"/>
      <c r="AK22" s="1"/>
      <c r="AL22" s="1"/>
      <c r="AM22" s="1"/>
      <c r="AN22" s="1"/>
      <c r="AO22" s="1"/>
      <c r="AP22" s="1"/>
      <c r="AQ22" s="1"/>
      <c r="AR22" s="1"/>
    </row>
    <row r="23" spans="1:44" ht="69.75" customHeight="1" thickBot="1">
      <c r="B23" s="174" t="s">
        <v>58</v>
      </c>
      <c r="C23" s="175">
        <v>46053</v>
      </c>
      <c r="D23" s="60"/>
      <c r="E23" s="60"/>
      <c r="F23" s="60"/>
      <c r="G23" s="60"/>
      <c r="H23" s="60"/>
      <c r="I23" s="60"/>
      <c r="J23" s="60"/>
      <c r="K23" s="211" t="s">
        <v>59</v>
      </c>
      <c r="L23" s="94">
        <v>0.01</v>
      </c>
      <c r="M23" s="95">
        <v>474</v>
      </c>
      <c r="N23" s="96">
        <v>0</v>
      </c>
      <c r="O23" s="60"/>
      <c r="P23" s="13"/>
      <c r="Q23" s="1"/>
      <c r="R23" s="48"/>
      <c r="S23" s="48"/>
      <c r="T23" s="48"/>
      <c r="U23" s="1"/>
      <c r="V23" s="1"/>
      <c r="W23" s="1"/>
      <c r="X23" s="1"/>
      <c r="Y23" s="1"/>
      <c r="Z23" s="1"/>
      <c r="AA23" s="1"/>
      <c r="AB23" s="1"/>
      <c r="AC23" s="1"/>
      <c r="AD23" s="1"/>
      <c r="AE23" s="1"/>
      <c r="AG23" s="1"/>
      <c r="AH23" s="1"/>
      <c r="AI23" s="1"/>
      <c r="AJ23" s="1"/>
      <c r="AK23" s="1"/>
      <c r="AL23" s="1"/>
      <c r="AM23" s="1"/>
      <c r="AN23" s="1"/>
      <c r="AO23" s="1"/>
      <c r="AP23" s="1"/>
      <c r="AQ23" s="1"/>
      <c r="AR23" s="1"/>
    </row>
    <row r="24" spans="1:44" ht="102" customHeight="1" thickBot="1">
      <c r="B24" s="2"/>
      <c r="C24" s="2"/>
      <c r="D24" s="60"/>
      <c r="E24" s="60"/>
      <c r="F24" s="60"/>
      <c r="G24" s="60"/>
      <c r="H24" s="60"/>
      <c r="I24" s="60"/>
      <c r="J24" s="60"/>
      <c r="K24" s="212"/>
      <c r="L24" s="97">
        <v>10171.01</v>
      </c>
      <c r="M24" s="98">
        <v>0</v>
      </c>
      <c r="N24" s="99">
        <v>0</v>
      </c>
      <c r="O24" s="60"/>
      <c r="P24" s="13"/>
      <c r="Q24" s="1"/>
      <c r="R24" s="48"/>
      <c r="S24" s="48"/>
      <c r="T24" s="48"/>
      <c r="U24" s="1"/>
      <c r="V24" s="1"/>
      <c r="W24" s="1"/>
      <c r="X24" s="1"/>
      <c r="Y24" s="1"/>
      <c r="Z24" s="1"/>
      <c r="AA24" s="1"/>
      <c r="AB24" s="1"/>
      <c r="AC24" s="1"/>
      <c r="AD24" s="1"/>
      <c r="AE24" s="1"/>
      <c r="AG24" s="1"/>
      <c r="AH24" s="1"/>
      <c r="AI24" s="1"/>
      <c r="AJ24" s="1"/>
      <c r="AK24" s="1"/>
      <c r="AL24" s="1"/>
      <c r="AM24" s="1"/>
      <c r="AN24" s="1"/>
      <c r="AO24" s="1"/>
      <c r="AP24" s="1"/>
      <c r="AQ24" s="1"/>
      <c r="AR24" s="1"/>
    </row>
    <row r="25" spans="1:44" s="50" customFormat="1" ht="51.75" customHeight="1" thickBot="1">
      <c r="B25" s="51"/>
      <c r="C25" s="52"/>
      <c r="D25" s="7"/>
      <c r="E25" s="7"/>
      <c r="F25" s="7"/>
      <c r="G25" s="7"/>
      <c r="H25" s="7"/>
      <c r="I25" s="7"/>
      <c r="J25" s="7"/>
      <c r="K25" s="100">
        <v>1.66E-2</v>
      </c>
      <c r="L25" s="7"/>
      <c r="M25" s="7"/>
      <c r="N25" s="7"/>
      <c r="O25" s="7"/>
      <c r="P25" s="53"/>
      <c r="Q25" s="3"/>
      <c r="R25" s="54"/>
      <c r="S25" s="54"/>
      <c r="T25" s="54"/>
      <c r="AF25" s="6"/>
    </row>
    <row r="26" spans="1:44" s="50" customFormat="1" ht="51.75" customHeight="1" thickBot="1">
      <c r="B26" s="224" t="s">
        <v>60</v>
      </c>
      <c r="C26" s="214"/>
      <c r="D26" s="214"/>
      <c r="E26" s="214"/>
      <c r="F26" s="225"/>
      <c r="G26" s="224" t="s">
        <v>61</v>
      </c>
      <c r="H26" s="214"/>
      <c r="I26" s="214"/>
      <c r="J26" s="225"/>
      <c r="K26" s="213" t="s">
        <v>62</v>
      </c>
      <c r="L26" s="214"/>
      <c r="M26" s="214"/>
      <c r="N26" s="214"/>
      <c r="O26" s="217" t="s">
        <v>63</v>
      </c>
      <c r="P26" s="53"/>
      <c r="Q26" s="3"/>
      <c r="R26" s="54"/>
      <c r="S26" s="54"/>
      <c r="T26" s="54"/>
      <c r="AF26" s="6"/>
    </row>
    <row r="27" spans="1:44" ht="105" customHeight="1" thickBot="1">
      <c r="B27" s="177"/>
      <c r="C27" s="178"/>
      <c r="D27" s="178"/>
      <c r="E27" s="178"/>
      <c r="F27" s="178"/>
      <c r="G27" s="177"/>
      <c r="H27" s="179"/>
      <c r="I27" s="178"/>
      <c r="J27" s="180" t="s">
        <v>64</v>
      </c>
      <c r="K27" s="176"/>
      <c r="L27" s="181"/>
      <c r="M27" s="180" t="s">
        <v>64</v>
      </c>
      <c r="N27" s="182"/>
      <c r="O27" s="218"/>
      <c r="P27" s="13"/>
      <c r="R27" s="4"/>
      <c r="T27" s="1"/>
      <c r="U27" s="1"/>
      <c r="V27" s="1"/>
      <c r="W27" s="1"/>
      <c r="X27" s="1"/>
      <c r="Y27" s="1"/>
      <c r="Z27" s="1"/>
      <c r="AA27" s="1"/>
      <c r="AB27" s="1"/>
      <c r="AC27" s="1"/>
      <c r="AD27" s="1"/>
      <c r="AE27" s="1"/>
      <c r="AG27" s="1"/>
      <c r="AH27" s="1"/>
      <c r="AI27" s="1"/>
      <c r="AJ27" s="1"/>
      <c r="AK27" s="1"/>
      <c r="AL27" s="1"/>
      <c r="AM27" s="1"/>
      <c r="AN27" s="1"/>
      <c r="AO27" s="1"/>
      <c r="AP27" s="1"/>
      <c r="AQ27" s="1"/>
      <c r="AR27" s="1"/>
    </row>
    <row r="28" spans="1:44" s="39" customFormat="1" ht="115" customHeight="1">
      <c r="A28" s="38"/>
      <c r="B28" s="183" t="s">
        <v>65</v>
      </c>
      <c r="C28" s="183" t="s">
        <v>66</v>
      </c>
      <c r="D28" s="183" t="s">
        <v>67</v>
      </c>
      <c r="E28" s="183" t="s">
        <v>68</v>
      </c>
      <c r="F28" s="183" t="s">
        <v>69</v>
      </c>
      <c r="G28" s="184" t="s">
        <v>70</v>
      </c>
      <c r="H28" s="183" t="s">
        <v>71</v>
      </c>
      <c r="I28" s="183" t="s">
        <v>72</v>
      </c>
      <c r="J28" s="184" t="s">
        <v>73</v>
      </c>
      <c r="K28" s="183" t="s">
        <v>74</v>
      </c>
      <c r="L28" s="183" t="s">
        <v>75</v>
      </c>
      <c r="M28" s="184" t="s">
        <v>76</v>
      </c>
      <c r="N28" s="183" t="s">
        <v>77</v>
      </c>
      <c r="O28" s="218"/>
      <c r="S28" s="4"/>
      <c r="AF28" s="55"/>
    </row>
    <row r="29" spans="1:44" ht="50.25" customHeight="1">
      <c r="A29" s="12"/>
      <c r="B29" s="185">
        <v>1</v>
      </c>
      <c r="C29" s="186"/>
      <c r="D29" s="186" t="s">
        <v>78</v>
      </c>
      <c r="E29" s="187">
        <v>0</v>
      </c>
      <c r="F29" s="188">
        <f t="shared" ref="F29:F43" si="0">30-E29</f>
        <v>30</v>
      </c>
      <c r="G29" s="189">
        <v>0.04</v>
      </c>
      <c r="H29" s="190">
        <v>25000</v>
      </c>
      <c r="I29" s="191">
        <f t="shared" ref="I29:I43" si="1">(H29/$E$14)*$I$9</f>
        <v>874.41666666666663</v>
      </c>
      <c r="J29" s="186" t="s">
        <v>79</v>
      </c>
      <c r="K29" s="192">
        <f t="shared" ref="K29:K43" si="2">IF(I29&lt;=278.8,0,((I29*$K$25)*F29))</f>
        <v>435.45949999999993</v>
      </c>
      <c r="L29" s="193">
        <f>IF(H29&lt;=10171,(('Cuotas patronales'!P25)-$M$23),'Cuotas patronales'!P25)</f>
        <v>3672.3030079999999</v>
      </c>
      <c r="M29" s="191">
        <f t="shared" ref="M29:M43" si="3">IF(J29="SI",I29*20%)*F29</f>
        <v>5246.5</v>
      </c>
      <c r="N29" s="194">
        <f t="shared" ref="N29:N43" si="4">I29*G29*F29</f>
        <v>1049.3</v>
      </c>
      <c r="O29" s="192">
        <f t="shared" ref="O29:O43" si="5">H29-(K29+L29+M29+N29)</f>
        <v>14596.437492000001</v>
      </c>
      <c r="P29" s="13"/>
      <c r="Q29" s="13"/>
      <c r="R29" s="13"/>
      <c r="S29" s="13"/>
      <c r="T29" s="13"/>
      <c r="U29" s="1"/>
      <c r="V29" s="1"/>
      <c r="W29" s="1"/>
      <c r="X29" s="1"/>
      <c r="Y29" s="1"/>
      <c r="Z29" s="1"/>
      <c r="AA29" s="1"/>
      <c r="AB29" s="1"/>
      <c r="AC29" s="1"/>
      <c r="AD29" s="1"/>
      <c r="AE29" s="1"/>
      <c r="AG29" s="1"/>
      <c r="AH29" s="1"/>
      <c r="AI29" s="1"/>
      <c r="AJ29" s="1"/>
      <c r="AK29" s="1"/>
      <c r="AL29" s="1"/>
      <c r="AM29" s="1"/>
      <c r="AN29" s="1"/>
      <c r="AO29" s="1"/>
      <c r="AP29" s="1"/>
      <c r="AQ29" s="1"/>
      <c r="AR29" s="1"/>
    </row>
    <row r="30" spans="1:44" ht="50.25" customHeight="1">
      <c r="B30" s="185">
        <v>2</v>
      </c>
      <c r="C30" s="186"/>
      <c r="D30" s="186" t="s">
        <v>80</v>
      </c>
      <c r="E30" s="187">
        <v>0</v>
      </c>
      <c r="F30" s="188">
        <f t="shared" si="0"/>
        <v>30</v>
      </c>
      <c r="G30" s="189">
        <v>0</v>
      </c>
      <c r="H30" s="190">
        <v>10000</v>
      </c>
      <c r="I30" s="191">
        <f t="shared" si="1"/>
        <v>349.76666666666659</v>
      </c>
      <c r="J30" s="186" t="s">
        <v>79</v>
      </c>
      <c r="K30" s="192">
        <f t="shared" si="2"/>
        <v>174.18379999999996</v>
      </c>
      <c r="L30" s="193">
        <f>IF(H30&lt;=10171,(('Cuotas patronales'!P26)-$M$23),'Cuotas patronales'!P26)</f>
        <v>3198.3030079999999</v>
      </c>
      <c r="M30" s="191">
        <f t="shared" si="3"/>
        <v>2098.5999999999995</v>
      </c>
      <c r="N30" s="194">
        <f t="shared" si="4"/>
        <v>0</v>
      </c>
      <c r="O30" s="192">
        <f t="shared" si="5"/>
        <v>4528.9131920000009</v>
      </c>
      <c r="P30" s="13"/>
      <c r="Q30" s="13"/>
      <c r="R30" s="13"/>
      <c r="S30" s="13"/>
      <c r="T30" s="13"/>
      <c r="U30" s="1"/>
      <c r="V30" s="1"/>
      <c r="W30" s="1"/>
      <c r="X30" s="1"/>
      <c r="Y30" s="1"/>
      <c r="Z30" s="1"/>
      <c r="AA30" s="1"/>
      <c r="AB30" s="1"/>
      <c r="AC30" s="1"/>
      <c r="AD30" s="1"/>
      <c r="AE30" s="1"/>
      <c r="AG30" s="1"/>
      <c r="AH30" s="1"/>
      <c r="AI30" s="1"/>
      <c r="AJ30" s="1"/>
      <c r="AK30" s="1"/>
      <c r="AL30" s="1"/>
      <c r="AM30" s="1"/>
      <c r="AN30" s="1"/>
      <c r="AO30" s="1"/>
      <c r="AP30" s="1"/>
      <c r="AQ30" s="1"/>
      <c r="AR30" s="1"/>
    </row>
    <row r="31" spans="1:44" ht="50.25" customHeight="1">
      <c r="B31" s="185">
        <v>3</v>
      </c>
      <c r="C31" s="186"/>
      <c r="D31" s="186" t="s">
        <v>81</v>
      </c>
      <c r="E31" s="187">
        <v>0</v>
      </c>
      <c r="F31" s="188">
        <f t="shared" si="0"/>
        <v>30</v>
      </c>
      <c r="G31" s="189">
        <v>0</v>
      </c>
      <c r="H31" s="190">
        <v>13000</v>
      </c>
      <c r="I31" s="191">
        <f t="shared" si="1"/>
        <v>454.6966666666666</v>
      </c>
      <c r="J31" s="186" t="s">
        <v>79</v>
      </c>
      <c r="K31" s="192">
        <f t="shared" si="2"/>
        <v>226.43893999999995</v>
      </c>
      <c r="L31" s="193">
        <f>IF(H31&lt;=10171,(('Cuotas patronales'!P27)-$M$23),'Cuotas patronales'!P27)</f>
        <v>3672.3030079999999</v>
      </c>
      <c r="M31" s="191">
        <f t="shared" si="3"/>
        <v>2728.18</v>
      </c>
      <c r="N31" s="194">
        <f t="shared" si="4"/>
        <v>0</v>
      </c>
      <c r="O31" s="192">
        <f t="shared" si="5"/>
        <v>6373.0780520000008</v>
      </c>
      <c r="P31" s="13"/>
      <c r="Q31" s="13"/>
      <c r="R31" s="13"/>
      <c r="S31" s="13"/>
      <c r="T31" s="13"/>
      <c r="U31" s="1"/>
      <c r="V31" s="1"/>
      <c r="W31" s="1"/>
      <c r="X31" s="1"/>
      <c r="Y31" s="1"/>
      <c r="Z31" s="1"/>
      <c r="AA31" s="1"/>
      <c r="AB31" s="1"/>
      <c r="AC31" s="1"/>
      <c r="AD31" s="1"/>
      <c r="AE31" s="1"/>
      <c r="AG31" s="1"/>
      <c r="AH31" s="1"/>
      <c r="AI31" s="1"/>
      <c r="AJ31" s="1"/>
      <c r="AK31" s="1"/>
      <c r="AL31" s="1"/>
      <c r="AM31" s="1"/>
      <c r="AN31" s="1"/>
      <c r="AO31" s="1"/>
      <c r="AP31" s="1"/>
      <c r="AQ31" s="1"/>
      <c r="AR31" s="1"/>
    </row>
    <row r="32" spans="1:44" ht="50.25" customHeight="1">
      <c r="B32" s="185">
        <v>4</v>
      </c>
      <c r="C32" s="186"/>
      <c r="D32" s="186" t="s">
        <v>80</v>
      </c>
      <c r="E32" s="187">
        <v>0</v>
      </c>
      <c r="F32" s="188">
        <f t="shared" si="0"/>
        <v>30</v>
      </c>
      <c r="G32" s="189">
        <v>0</v>
      </c>
      <c r="H32" s="190">
        <v>13000</v>
      </c>
      <c r="I32" s="191">
        <f t="shared" si="1"/>
        <v>454.6966666666666</v>
      </c>
      <c r="J32" s="186" t="s">
        <v>79</v>
      </c>
      <c r="K32" s="192">
        <f t="shared" si="2"/>
        <v>226.43893999999995</v>
      </c>
      <c r="L32" s="193">
        <f>IF(H32&lt;=10171,(('Cuotas patronales'!P28)-$M$23),'Cuotas patronales'!P28)</f>
        <v>3672.3030079999999</v>
      </c>
      <c r="M32" s="191">
        <f t="shared" si="3"/>
        <v>2728.18</v>
      </c>
      <c r="N32" s="194">
        <f t="shared" si="4"/>
        <v>0</v>
      </c>
      <c r="O32" s="192">
        <f t="shared" si="5"/>
        <v>6373.0780520000008</v>
      </c>
      <c r="P32" s="13"/>
      <c r="Q32" s="13"/>
      <c r="R32" s="13"/>
      <c r="S32" s="13"/>
      <c r="T32" s="13"/>
      <c r="U32" s="1"/>
      <c r="V32" s="1"/>
      <c r="W32" s="1"/>
      <c r="X32" s="1"/>
      <c r="Y32" s="1"/>
      <c r="Z32" s="1"/>
      <c r="AA32" s="1"/>
      <c r="AB32" s="1"/>
      <c r="AC32" s="1"/>
      <c r="AD32" s="1"/>
      <c r="AE32" s="1"/>
      <c r="AG32" s="1"/>
      <c r="AH32" s="1"/>
      <c r="AI32" s="1"/>
      <c r="AJ32" s="1"/>
      <c r="AK32" s="1"/>
      <c r="AL32" s="1"/>
      <c r="AM32" s="1"/>
      <c r="AN32" s="1"/>
      <c r="AO32" s="1"/>
      <c r="AP32" s="1"/>
      <c r="AQ32" s="1"/>
      <c r="AR32" s="1"/>
    </row>
    <row r="33" spans="2:44" ht="50.25" customHeight="1">
      <c r="B33" s="185">
        <v>5</v>
      </c>
      <c r="C33" s="186"/>
      <c r="D33" s="186" t="s">
        <v>80</v>
      </c>
      <c r="E33" s="187">
        <v>2</v>
      </c>
      <c r="F33" s="188">
        <f t="shared" si="0"/>
        <v>28</v>
      </c>
      <c r="G33" s="189">
        <v>0</v>
      </c>
      <c r="H33" s="190">
        <v>13000</v>
      </c>
      <c r="I33" s="191">
        <f t="shared" si="1"/>
        <v>454.6966666666666</v>
      </c>
      <c r="J33" s="186" t="s">
        <v>79</v>
      </c>
      <c r="K33" s="192">
        <f t="shared" si="2"/>
        <v>211.34301066666663</v>
      </c>
      <c r="L33" s="193">
        <f>IF(H33&lt;=10171,(('Cuotas patronales'!P29)-$M$23),'Cuotas patronales'!P29)</f>
        <v>3672.3030079999999</v>
      </c>
      <c r="M33" s="191">
        <f t="shared" si="3"/>
        <v>2546.3013333333329</v>
      </c>
      <c r="N33" s="194">
        <f t="shared" si="4"/>
        <v>0</v>
      </c>
      <c r="O33" s="192">
        <f t="shared" si="5"/>
        <v>6570.0526480000008</v>
      </c>
      <c r="P33" s="13"/>
      <c r="Q33" s="13"/>
      <c r="R33" s="13"/>
      <c r="S33" s="13"/>
      <c r="T33" s="13"/>
      <c r="U33" s="1"/>
      <c r="V33" s="1"/>
      <c r="W33" s="1"/>
      <c r="X33" s="1"/>
      <c r="Y33" s="1"/>
      <c r="Z33" s="1"/>
      <c r="AA33" s="1"/>
      <c r="AB33" s="1"/>
      <c r="AC33" s="1"/>
      <c r="AD33" s="1"/>
      <c r="AE33" s="1"/>
      <c r="AG33" s="1"/>
      <c r="AH33" s="1"/>
      <c r="AI33" s="1"/>
      <c r="AJ33" s="1"/>
      <c r="AK33" s="1"/>
      <c r="AL33" s="1"/>
      <c r="AM33" s="1"/>
      <c r="AN33" s="1"/>
      <c r="AO33" s="1"/>
      <c r="AP33" s="1"/>
      <c r="AQ33" s="1"/>
      <c r="AR33" s="1"/>
    </row>
    <row r="34" spans="2:44" ht="50.25" customHeight="1">
      <c r="B34" s="185">
        <v>6</v>
      </c>
      <c r="C34" s="186"/>
      <c r="D34" s="186" t="s">
        <v>80</v>
      </c>
      <c r="E34" s="187">
        <v>2</v>
      </c>
      <c r="F34" s="188">
        <f t="shared" si="0"/>
        <v>28</v>
      </c>
      <c r="G34" s="189">
        <v>0</v>
      </c>
      <c r="H34" s="190">
        <v>13000</v>
      </c>
      <c r="I34" s="191">
        <f t="shared" si="1"/>
        <v>454.6966666666666</v>
      </c>
      <c r="J34" s="186" t="s">
        <v>82</v>
      </c>
      <c r="K34" s="192">
        <f t="shared" si="2"/>
        <v>211.34301066666663</v>
      </c>
      <c r="L34" s="193">
        <f>IF(H34&lt;=10171,(('Cuotas patronales'!P30)-$M$23),'Cuotas patronales'!P30)</f>
        <v>3672.3030079999999</v>
      </c>
      <c r="M34" s="191">
        <f t="shared" si="3"/>
        <v>0</v>
      </c>
      <c r="N34" s="194">
        <f t="shared" si="4"/>
        <v>0</v>
      </c>
      <c r="O34" s="192">
        <f t="shared" si="5"/>
        <v>9116.3539813333336</v>
      </c>
      <c r="P34" s="13"/>
      <c r="Q34" s="13"/>
      <c r="R34" s="13"/>
      <c r="S34" s="13"/>
      <c r="T34" s="13"/>
      <c r="U34" s="1"/>
      <c r="V34" s="1"/>
      <c r="W34" s="1"/>
      <c r="X34" s="1"/>
      <c r="Y34" s="1"/>
      <c r="Z34" s="1"/>
      <c r="AA34" s="1"/>
      <c r="AB34" s="1"/>
      <c r="AC34" s="1"/>
      <c r="AD34" s="1"/>
      <c r="AE34" s="1"/>
      <c r="AG34" s="1"/>
      <c r="AH34" s="1"/>
      <c r="AI34" s="1"/>
      <c r="AJ34" s="1"/>
      <c r="AK34" s="1"/>
      <c r="AL34" s="1"/>
      <c r="AM34" s="1"/>
      <c r="AN34" s="1"/>
      <c r="AO34" s="1"/>
      <c r="AP34" s="1"/>
      <c r="AQ34" s="1"/>
      <c r="AR34" s="1"/>
    </row>
    <row r="35" spans="2:44" ht="50.25" customHeight="1">
      <c r="B35" s="185">
        <v>7</v>
      </c>
      <c r="C35" s="186"/>
      <c r="D35" s="186" t="s">
        <v>80</v>
      </c>
      <c r="E35" s="187">
        <v>2</v>
      </c>
      <c r="F35" s="188">
        <f t="shared" si="0"/>
        <v>28</v>
      </c>
      <c r="G35" s="189">
        <v>0</v>
      </c>
      <c r="H35" s="190">
        <v>13000</v>
      </c>
      <c r="I35" s="191">
        <f t="shared" si="1"/>
        <v>454.6966666666666</v>
      </c>
      <c r="J35" s="186" t="s">
        <v>82</v>
      </c>
      <c r="K35" s="192">
        <f t="shared" si="2"/>
        <v>211.34301066666663</v>
      </c>
      <c r="L35" s="193">
        <f>IF(H35&lt;=10171,(('Cuotas patronales'!P31)-$M$23),'Cuotas patronales'!P31)</f>
        <v>3672.3030079999999</v>
      </c>
      <c r="M35" s="191">
        <f t="shared" si="3"/>
        <v>0</v>
      </c>
      <c r="N35" s="194">
        <f t="shared" si="4"/>
        <v>0</v>
      </c>
      <c r="O35" s="192">
        <f t="shared" si="5"/>
        <v>9116.3539813333336</v>
      </c>
      <c r="P35" s="13"/>
      <c r="Q35" s="13"/>
      <c r="R35" s="13"/>
      <c r="S35" s="13"/>
      <c r="T35" s="13"/>
      <c r="U35" s="1"/>
      <c r="V35" s="1"/>
      <c r="W35" s="1"/>
      <c r="X35" s="1"/>
      <c r="Y35" s="1"/>
      <c r="Z35" s="1"/>
      <c r="AA35" s="1"/>
      <c r="AB35" s="1"/>
      <c r="AC35" s="1"/>
      <c r="AD35" s="1"/>
      <c r="AE35" s="1"/>
      <c r="AG35" s="1"/>
      <c r="AH35" s="1"/>
      <c r="AI35" s="1"/>
      <c r="AJ35" s="1"/>
      <c r="AK35" s="1"/>
      <c r="AL35" s="1"/>
      <c r="AM35" s="1"/>
      <c r="AN35" s="1"/>
      <c r="AO35" s="1"/>
      <c r="AP35" s="1"/>
      <c r="AQ35" s="1"/>
      <c r="AR35" s="1"/>
    </row>
    <row r="36" spans="2:44" ht="50.25" customHeight="1">
      <c r="B36" s="185">
        <v>8</v>
      </c>
      <c r="C36" s="186"/>
      <c r="D36" s="186" t="s">
        <v>80</v>
      </c>
      <c r="E36" s="187">
        <v>2</v>
      </c>
      <c r="F36" s="188">
        <f t="shared" si="0"/>
        <v>28</v>
      </c>
      <c r="G36" s="189">
        <v>0</v>
      </c>
      <c r="H36" s="190">
        <v>13000</v>
      </c>
      <c r="I36" s="191">
        <f t="shared" si="1"/>
        <v>454.6966666666666</v>
      </c>
      <c r="J36" s="186" t="s">
        <v>82</v>
      </c>
      <c r="K36" s="192">
        <f t="shared" si="2"/>
        <v>211.34301066666663</v>
      </c>
      <c r="L36" s="193">
        <f>IF(H36&lt;=10171,(('Cuotas patronales'!P32)-$M$23),'Cuotas patronales'!P32)</f>
        <v>3672.3030079999999</v>
      </c>
      <c r="M36" s="191">
        <f t="shared" si="3"/>
        <v>0</v>
      </c>
      <c r="N36" s="194">
        <f t="shared" si="4"/>
        <v>0</v>
      </c>
      <c r="O36" s="192">
        <f t="shared" si="5"/>
        <v>9116.3539813333336</v>
      </c>
      <c r="P36" s="13"/>
      <c r="Q36" s="13"/>
      <c r="R36" s="13"/>
      <c r="S36" s="13"/>
      <c r="T36" s="13"/>
      <c r="U36" s="1"/>
      <c r="V36" s="1"/>
      <c r="W36" s="1"/>
      <c r="X36" s="1"/>
      <c r="Y36" s="1"/>
      <c r="Z36" s="1"/>
      <c r="AA36" s="1"/>
      <c r="AB36" s="1"/>
      <c r="AC36" s="1"/>
      <c r="AD36" s="1"/>
      <c r="AE36" s="1"/>
      <c r="AG36" s="1"/>
      <c r="AH36" s="1"/>
      <c r="AI36" s="1"/>
      <c r="AJ36" s="1"/>
      <c r="AK36" s="1"/>
      <c r="AL36" s="1"/>
      <c r="AM36" s="1"/>
      <c r="AN36" s="1"/>
      <c r="AO36" s="1"/>
      <c r="AP36" s="1"/>
      <c r="AQ36" s="1"/>
      <c r="AR36" s="1"/>
    </row>
    <row r="37" spans="2:44" ht="50.25" customHeight="1">
      <c r="B37" s="185">
        <v>9</v>
      </c>
      <c r="C37" s="186"/>
      <c r="D37" s="186" t="s">
        <v>80</v>
      </c>
      <c r="E37" s="187">
        <v>2</v>
      </c>
      <c r="F37" s="188">
        <f t="shared" si="0"/>
        <v>28</v>
      </c>
      <c r="G37" s="189">
        <v>0</v>
      </c>
      <c r="H37" s="190">
        <v>13000</v>
      </c>
      <c r="I37" s="191">
        <f t="shared" si="1"/>
        <v>454.6966666666666</v>
      </c>
      <c r="J37" s="186" t="s">
        <v>82</v>
      </c>
      <c r="K37" s="192">
        <f t="shared" si="2"/>
        <v>211.34301066666663</v>
      </c>
      <c r="L37" s="193">
        <f>IF(H37&lt;=10171,(('Cuotas patronales'!P33)-$M$23),'Cuotas patronales'!P33)</f>
        <v>3672.3030079999999</v>
      </c>
      <c r="M37" s="191">
        <f t="shared" si="3"/>
        <v>0</v>
      </c>
      <c r="N37" s="194">
        <f t="shared" si="4"/>
        <v>0</v>
      </c>
      <c r="O37" s="192">
        <f t="shared" si="5"/>
        <v>9116.3539813333336</v>
      </c>
      <c r="P37" s="13"/>
      <c r="Q37" s="13"/>
      <c r="R37" s="13"/>
      <c r="S37" s="13"/>
      <c r="T37" s="13"/>
      <c r="U37" s="1"/>
      <c r="V37" s="1"/>
      <c r="W37" s="1"/>
      <c r="X37" s="1"/>
      <c r="Y37" s="1"/>
      <c r="Z37" s="1"/>
      <c r="AA37" s="1"/>
      <c r="AB37" s="1"/>
      <c r="AC37" s="1"/>
      <c r="AD37" s="1"/>
      <c r="AE37" s="1"/>
      <c r="AG37" s="1"/>
      <c r="AH37" s="1"/>
      <c r="AI37" s="1"/>
      <c r="AJ37" s="1"/>
      <c r="AK37" s="1"/>
      <c r="AL37" s="1"/>
      <c r="AM37" s="1"/>
      <c r="AN37" s="1"/>
      <c r="AO37" s="1"/>
      <c r="AP37" s="1"/>
      <c r="AQ37" s="1"/>
      <c r="AR37" s="1"/>
    </row>
    <row r="38" spans="2:44" ht="50.25" customHeight="1">
      <c r="B38" s="185">
        <v>10</v>
      </c>
      <c r="C38" s="186"/>
      <c r="D38" s="186" t="s">
        <v>80</v>
      </c>
      <c r="E38" s="187">
        <v>2</v>
      </c>
      <c r="F38" s="188">
        <f t="shared" si="0"/>
        <v>28</v>
      </c>
      <c r="G38" s="189">
        <v>0</v>
      </c>
      <c r="H38" s="190">
        <v>13000</v>
      </c>
      <c r="I38" s="191">
        <f t="shared" si="1"/>
        <v>454.6966666666666</v>
      </c>
      <c r="J38" s="186" t="s">
        <v>82</v>
      </c>
      <c r="K38" s="192">
        <f t="shared" si="2"/>
        <v>211.34301066666663</v>
      </c>
      <c r="L38" s="193">
        <f>IF(H38&lt;=10171,(('Cuotas patronales'!P34)-$M$23),'Cuotas patronales'!P34)</f>
        <v>3672.3030079999999</v>
      </c>
      <c r="M38" s="191">
        <f t="shared" si="3"/>
        <v>0</v>
      </c>
      <c r="N38" s="194">
        <f t="shared" si="4"/>
        <v>0</v>
      </c>
      <c r="O38" s="192">
        <f t="shared" si="5"/>
        <v>9116.3539813333336</v>
      </c>
      <c r="P38" s="13"/>
      <c r="Q38" s="13"/>
      <c r="R38" s="13"/>
      <c r="S38" s="13"/>
      <c r="T38" s="13"/>
      <c r="U38" s="1"/>
      <c r="V38" s="1"/>
      <c r="W38" s="1"/>
      <c r="X38" s="1"/>
      <c r="Y38" s="1"/>
      <c r="Z38" s="1"/>
      <c r="AA38" s="1"/>
      <c r="AB38" s="1"/>
      <c r="AC38" s="1"/>
      <c r="AD38" s="1"/>
      <c r="AE38" s="1"/>
      <c r="AG38" s="1"/>
      <c r="AH38" s="1"/>
      <c r="AI38" s="1"/>
      <c r="AJ38" s="1"/>
      <c r="AK38" s="1"/>
      <c r="AL38" s="1"/>
      <c r="AM38" s="1"/>
      <c r="AN38" s="1"/>
      <c r="AO38" s="1"/>
      <c r="AP38" s="1"/>
      <c r="AQ38" s="1"/>
      <c r="AR38" s="1"/>
    </row>
    <row r="39" spans="2:44" ht="50.25" customHeight="1">
      <c r="B39" s="185">
        <v>11</v>
      </c>
      <c r="C39" s="186"/>
      <c r="D39" s="186" t="s">
        <v>80</v>
      </c>
      <c r="E39" s="187">
        <v>2</v>
      </c>
      <c r="F39" s="188">
        <f t="shared" si="0"/>
        <v>28</v>
      </c>
      <c r="G39" s="189">
        <v>0</v>
      </c>
      <c r="H39" s="190">
        <v>13000</v>
      </c>
      <c r="I39" s="191">
        <f t="shared" si="1"/>
        <v>454.6966666666666</v>
      </c>
      <c r="J39" s="186" t="s">
        <v>82</v>
      </c>
      <c r="K39" s="192">
        <f t="shared" si="2"/>
        <v>211.34301066666663</v>
      </c>
      <c r="L39" s="193">
        <f>IF(H39&lt;=10171,(('Cuotas patronales'!P35)-$M$23),'Cuotas patronales'!P35)</f>
        <v>3672.3030079999999</v>
      </c>
      <c r="M39" s="191">
        <f t="shared" si="3"/>
        <v>0</v>
      </c>
      <c r="N39" s="194">
        <f t="shared" si="4"/>
        <v>0</v>
      </c>
      <c r="O39" s="192">
        <f t="shared" si="5"/>
        <v>9116.3539813333336</v>
      </c>
      <c r="P39" s="13"/>
      <c r="Q39" s="13"/>
      <c r="R39" s="13"/>
      <c r="S39" s="13"/>
      <c r="T39" s="13"/>
      <c r="U39" s="1"/>
      <c r="V39" s="1"/>
      <c r="W39" s="1"/>
      <c r="X39" s="1"/>
      <c r="Y39" s="1"/>
      <c r="Z39" s="1"/>
      <c r="AA39" s="1"/>
      <c r="AB39" s="1"/>
      <c r="AC39" s="1"/>
      <c r="AD39" s="1"/>
      <c r="AE39" s="1"/>
      <c r="AG39" s="1"/>
      <c r="AH39" s="1"/>
      <c r="AI39" s="1"/>
      <c r="AJ39" s="1"/>
      <c r="AK39" s="1"/>
      <c r="AL39" s="1"/>
      <c r="AM39" s="1"/>
      <c r="AN39" s="1"/>
      <c r="AO39" s="1"/>
      <c r="AP39" s="1"/>
      <c r="AQ39" s="1"/>
      <c r="AR39" s="1"/>
    </row>
    <row r="40" spans="2:44" ht="50.25" customHeight="1">
      <c r="B40" s="185">
        <v>12</v>
      </c>
      <c r="C40" s="186"/>
      <c r="D40" s="186" t="s">
        <v>80</v>
      </c>
      <c r="E40" s="187">
        <v>2</v>
      </c>
      <c r="F40" s="188">
        <f t="shared" si="0"/>
        <v>28</v>
      </c>
      <c r="G40" s="189">
        <v>0</v>
      </c>
      <c r="H40" s="190">
        <v>13000</v>
      </c>
      <c r="I40" s="191">
        <f t="shared" si="1"/>
        <v>454.6966666666666</v>
      </c>
      <c r="J40" s="186" t="s">
        <v>82</v>
      </c>
      <c r="K40" s="192">
        <f t="shared" si="2"/>
        <v>211.34301066666663</v>
      </c>
      <c r="L40" s="193">
        <f>IF(H40&lt;=10171,(('Cuotas patronales'!P36)-$M$23),'Cuotas patronales'!P36)</f>
        <v>3672.3030079999999</v>
      </c>
      <c r="M40" s="191">
        <f t="shared" si="3"/>
        <v>0</v>
      </c>
      <c r="N40" s="194">
        <f t="shared" si="4"/>
        <v>0</v>
      </c>
      <c r="O40" s="192">
        <f t="shared" si="5"/>
        <v>9116.3539813333336</v>
      </c>
      <c r="P40" s="13"/>
      <c r="Q40" s="13"/>
      <c r="R40" s="13"/>
      <c r="S40" s="13"/>
      <c r="T40" s="13"/>
      <c r="U40" s="1"/>
      <c r="V40" s="1"/>
      <c r="W40" s="1"/>
      <c r="X40" s="1"/>
      <c r="Y40" s="1"/>
      <c r="Z40" s="1"/>
      <c r="AA40" s="1"/>
      <c r="AB40" s="1"/>
      <c r="AC40" s="1"/>
      <c r="AD40" s="1"/>
      <c r="AE40" s="1"/>
      <c r="AG40" s="1"/>
      <c r="AH40" s="1"/>
      <c r="AI40" s="1"/>
      <c r="AJ40" s="1"/>
      <c r="AK40" s="1"/>
      <c r="AL40" s="1"/>
      <c r="AM40" s="1"/>
      <c r="AN40" s="1"/>
      <c r="AO40" s="1"/>
      <c r="AP40" s="1"/>
      <c r="AQ40" s="1"/>
      <c r="AR40" s="1"/>
    </row>
    <row r="41" spans="2:44" ht="50.25" customHeight="1">
      <c r="B41" s="185">
        <v>13</v>
      </c>
      <c r="C41" s="186"/>
      <c r="D41" s="186" t="s">
        <v>80</v>
      </c>
      <c r="E41" s="187">
        <v>2</v>
      </c>
      <c r="F41" s="188">
        <f t="shared" si="0"/>
        <v>28</v>
      </c>
      <c r="G41" s="189">
        <v>0.03</v>
      </c>
      <c r="H41" s="190">
        <v>13000</v>
      </c>
      <c r="I41" s="191">
        <f t="shared" si="1"/>
        <v>454.6966666666666</v>
      </c>
      <c r="J41" s="186" t="s">
        <v>82</v>
      </c>
      <c r="K41" s="192">
        <f t="shared" si="2"/>
        <v>211.34301066666663</v>
      </c>
      <c r="L41" s="193">
        <f>IF(H41&lt;=10171,(('Cuotas patronales'!P37)-$M$23),'Cuotas patronales'!P37)</f>
        <v>3672.3030079999999</v>
      </c>
      <c r="M41" s="191">
        <f t="shared" si="3"/>
        <v>0</v>
      </c>
      <c r="N41" s="194">
        <f t="shared" si="4"/>
        <v>381.94519999999989</v>
      </c>
      <c r="O41" s="192">
        <f t="shared" si="5"/>
        <v>8734.4087813333335</v>
      </c>
      <c r="P41" s="13"/>
      <c r="Q41" s="13"/>
      <c r="R41" s="13"/>
      <c r="S41" s="13"/>
      <c r="T41" s="13"/>
      <c r="U41" s="1"/>
      <c r="V41" s="1"/>
      <c r="W41" s="1"/>
      <c r="X41" s="1"/>
      <c r="Y41" s="1"/>
      <c r="Z41" s="1"/>
      <c r="AA41" s="1"/>
      <c r="AB41" s="1"/>
      <c r="AC41" s="1"/>
      <c r="AD41" s="1"/>
      <c r="AE41" s="1"/>
      <c r="AG41" s="1"/>
      <c r="AH41" s="1"/>
      <c r="AI41" s="1"/>
      <c r="AJ41" s="1"/>
      <c r="AK41" s="1"/>
      <c r="AL41" s="1"/>
      <c r="AM41" s="1"/>
      <c r="AN41" s="1"/>
      <c r="AO41" s="1"/>
      <c r="AP41" s="1"/>
      <c r="AQ41" s="1"/>
      <c r="AR41" s="1"/>
    </row>
    <row r="42" spans="2:44" ht="50.25" customHeight="1">
      <c r="B42" s="185">
        <v>14</v>
      </c>
      <c r="C42" s="186"/>
      <c r="D42" s="186" t="s">
        <v>80</v>
      </c>
      <c r="E42" s="187">
        <v>2</v>
      </c>
      <c r="F42" s="188">
        <f t="shared" si="0"/>
        <v>28</v>
      </c>
      <c r="G42" s="189">
        <v>0</v>
      </c>
      <c r="H42" s="190">
        <v>13000</v>
      </c>
      <c r="I42" s="191">
        <f t="shared" si="1"/>
        <v>454.6966666666666</v>
      </c>
      <c r="J42" s="186" t="s">
        <v>82</v>
      </c>
      <c r="K42" s="192">
        <f t="shared" si="2"/>
        <v>211.34301066666663</v>
      </c>
      <c r="L42" s="193">
        <f>IF(H42&lt;=10171,(('Cuotas patronales'!P38)-$M$23),'Cuotas patronales'!P38)</f>
        <v>3672.3030079999999</v>
      </c>
      <c r="M42" s="191">
        <f t="shared" si="3"/>
        <v>0</v>
      </c>
      <c r="N42" s="194">
        <f t="shared" si="4"/>
        <v>0</v>
      </c>
      <c r="O42" s="192">
        <f t="shared" si="5"/>
        <v>9116.3539813333336</v>
      </c>
      <c r="P42" s="13"/>
      <c r="Q42" s="13"/>
      <c r="R42" s="13"/>
      <c r="S42" s="13"/>
      <c r="T42" s="13"/>
      <c r="U42" s="1"/>
      <c r="V42" s="1"/>
      <c r="W42" s="1"/>
      <c r="X42" s="1"/>
      <c r="Y42" s="1"/>
      <c r="Z42" s="1"/>
      <c r="AA42" s="1"/>
      <c r="AB42" s="1"/>
      <c r="AC42" s="1"/>
      <c r="AD42" s="1"/>
      <c r="AE42" s="1"/>
      <c r="AG42" s="1"/>
      <c r="AH42" s="1"/>
      <c r="AI42" s="1"/>
      <c r="AJ42" s="1"/>
      <c r="AK42" s="1"/>
      <c r="AL42" s="1"/>
      <c r="AM42" s="1"/>
      <c r="AN42" s="1"/>
      <c r="AO42" s="1"/>
      <c r="AP42" s="1"/>
      <c r="AQ42" s="1"/>
      <c r="AR42" s="1"/>
    </row>
    <row r="43" spans="2:44" ht="50.25" customHeight="1">
      <c r="B43" s="185">
        <v>15</v>
      </c>
      <c r="C43" s="186"/>
      <c r="D43" s="186" t="s">
        <v>80</v>
      </c>
      <c r="E43" s="187">
        <v>2</v>
      </c>
      <c r="F43" s="188">
        <f t="shared" si="0"/>
        <v>28</v>
      </c>
      <c r="G43" s="189">
        <v>0</v>
      </c>
      <c r="H43" s="190">
        <v>13000</v>
      </c>
      <c r="I43" s="191">
        <f t="shared" si="1"/>
        <v>454.6966666666666</v>
      </c>
      <c r="J43" s="186" t="s">
        <v>82</v>
      </c>
      <c r="K43" s="192">
        <f t="shared" si="2"/>
        <v>211.34301066666663</v>
      </c>
      <c r="L43" s="193">
        <f>IF(H43&lt;=10171,(('Cuotas patronales'!P39)-$M$23),'Cuotas patronales'!P39)</f>
        <v>3672.3030079999999</v>
      </c>
      <c r="M43" s="191">
        <f t="shared" si="3"/>
        <v>0</v>
      </c>
      <c r="N43" s="194">
        <f t="shared" si="4"/>
        <v>0</v>
      </c>
      <c r="O43" s="192">
        <f t="shared" si="5"/>
        <v>9116.3539813333336</v>
      </c>
      <c r="P43" s="13"/>
      <c r="Q43" s="13"/>
      <c r="R43" s="13"/>
      <c r="S43" s="13"/>
      <c r="T43" s="13"/>
      <c r="U43" s="1"/>
      <c r="V43" s="1"/>
      <c r="W43" s="1"/>
      <c r="X43" s="1"/>
      <c r="Y43" s="1"/>
      <c r="Z43" s="1"/>
      <c r="AA43" s="1"/>
      <c r="AB43" s="1"/>
      <c r="AC43" s="1"/>
      <c r="AD43" s="1"/>
      <c r="AE43" s="1"/>
      <c r="AF43" s="198" t="s">
        <v>83</v>
      </c>
      <c r="AG43" s="1"/>
      <c r="AH43" s="1"/>
      <c r="AI43" s="1"/>
      <c r="AJ43" s="1"/>
      <c r="AK43" s="1"/>
      <c r="AL43" s="1"/>
      <c r="AM43" s="1"/>
      <c r="AN43" s="1"/>
      <c r="AO43" s="1"/>
      <c r="AP43" s="1"/>
      <c r="AQ43" s="1"/>
      <c r="AR43" s="1"/>
    </row>
    <row r="44" spans="2:44" ht="50.25" customHeight="1">
      <c r="B44" s="60"/>
      <c r="C44" s="60"/>
      <c r="D44" s="60"/>
      <c r="E44" s="60"/>
      <c r="F44" s="60"/>
      <c r="G44" s="60"/>
      <c r="H44" s="60"/>
      <c r="I44" s="60"/>
      <c r="J44" s="60"/>
      <c r="K44" s="60"/>
      <c r="L44" s="60"/>
      <c r="M44" s="60"/>
      <c r="N44" s="60"/>
      <c r="O44" s="60"/>
      <c r="P44" s="13"/>
      <c r="Q44" s="13"/>
      <c r="R44" s="13"/>
      <c r="S44" s="13"/>
      <c r="T44" s="13"/>
      <c r="U44" s="1"/>
      <c r="V44" s="1"/>
      <c r="W44" s="1"/>
      <c r="X44" s="1"/>
      <c r="Y44" s="1"/>
      <c r="Z44" s="1"/>
      <c r="AA44" s="1"/>
      <c r="AB44" s="1"/>
      <c r="AC44" s="1"/>
      <c r="AD44" s="1"/>
      <c r="AE44" s="1"/>
      <c r="AF44" s="199"/>
      <c r="AG44" s="57"/>
      <c r="AH44" s="46"/>
      <c r="AI44" s="1"/>
      <c r="AJ44" s="1"/>
      <c r="AK44" s="1"/>
      <c r="AL44" s="1"/>
      <c r="AM44" s="1"/>
      <c r="AN44" s="1"/>
      <c r="AO44" s="1"/>
      <c r="AP44" s="1"/>
      <c r="AQ44" s="1"/>
      <c r="AR44" s="1"/>
    </row>
    <row r="45" spans="2:44" ht="189" thickBot="1">
      <c r="B45" s="60"/>
      <c r="C45" s="60"/>
      <c r="D45" s="60"/>
      <c r="E45" s="60"/>
      <c r="F45" s="60"/>
      <c r="G45" s="195" t="s">
        <v>84</v>
      </c>
      <c r="H45" s="195" t="s">
        <v>85</v>
      </c>
      <c r="I45" s="60"/>
      <c r="J45" s="60"/>
      <c r="K45" s="60"/>
      <c r="L45" s="60"/>
      <c r="M45" s="101"/>
      <c r="N45" s="60"/>
      <c r="O45" s="60"/>
      <c r="P45" s="13"/>
      <c r="Q45" s="13"/>
      <c r="R45" s="13"/>
      <c r="S45" s="13"/>
      <c r="T45" s="13"/>
      <c r="U45" s="1"/>
      <c r="V45" s="1"/>
      <c r="W45" s="1"/>
      <c r="X45" s="1"/>
      <c r="Y45" s="1"/>
      <c r="Z45" s="1"/>
      <c r="AA45" s="1"/>
      <c r="AB45" s="1"/>
      <c r="AC45" s="1"/>
      <c r="AD45" s="1"/>
      <c r="AE45" s="1"/>
      <c r="AF45" s="200"/>
      <c r="AG45" s="57"/>
      <c r="AH45" s="46"/>
      <c r="AI45" s="1"/>
      <c r="AJ45" s="1"/>
      <c r="AK45" s="1"/>
      <c r="AL45" s="1"/>
      <c r="AM45" s="1"/>
      <c r="AN45" s="1"/>
      <c r="AO45" s="1"/>
      <c r="AP45" s="1"/>
      <c r="AQ45" s="1"/>
      <c r="AR45" s="1"/>
    </row>
    <row r="46" spans="2:44" ht="100" customHeight="1" thickBot="1">
      <c r="B46" s="60"/>
      <c r="C46" s="60"/>
      <c r="D46" s="221" t="s">
        <v>86</v>
      </c>
      <c r="E46" s="202"/>
      <c r="F46" s="222"/>
      <c r="G46" s="170">
        <f>SUM(N29:N43)</f>
        <v>1431.2451999999998</v>
      </c>
      <c r="H46" s="170">
        <f>SUM(H29:H43)</f>
        <v>204000</v>
      </c>
      <c r="I46" s="7"/>
      <c r="J46" s="7"/>
      <c r="K46" s="7"/>
      <c r="L46" s="7"/>
      <c r="M46" s="7"/>
      <c r="N46" s="171" t="s">
        <v>87</v>
      </c>
      <c r="O46" s="169">
        <f>SUM(O29:O43)</f>
        <v>129223.15404933333</v>
      </c>
      <c r="P46" s="13"/>
      <c r="Q46" s="13"/>
      <c r="R46" s="13"/>
      <c r="S46" s="13"/>
      <c r="T46" s="13"/>
      <c r="U46" s="1"/>
      <c r="V46" s="1"/>
      <c r="W46" s="1"/>
      <c r="X46" s="1"/>
      <c r="Y46" s="1"/>
      <c r="Z46" s="1"/>
      <c r="AA46" s="1"/>
      <c r="AB46" s="1"/>
      <c r="AC46" s="1"/>
      <c r="AD46" s="1"/>
      <c r="AE46" s="1"/>
      <c r="AF46" s="64" t="s">
        <v>88</v>
      </c>
      <c r="AG46" s="58"/>
      <c r="AH46" s="1"/>
      <c r="AI46" s="1"/>
      <c r="AJ46" s="1"/>
      <c r="AK46" s="1"/>
      <c r="AL46" s="1"/>
      <c r="AM46" s="1"/>
      <c r="AN46" s="1"/>
      <c r="AO46" s="1"/>
      <c r="AP46" s="1"/>
      <c r="AQ46" s="1"/>
      <c r="AR46" s="1"/>
    </row>
    <row r="47" spans="2:44" ht="64" customHeight="1" thickBot="1">
      <c r="P47" s="13"/>
      <c r="Q47" s="13"/>
      <c r="R47" s="13"/>
      <c r="S47" s="13"/>
      <c r="T47" s="13"/>
      <c r="U47" s="1"/>
      <c r="V47" s="1"/>
      <c r="W47" s="1"/>
      <c r="X47" s="1"/>
      <c r="Y47" s="1"/>
      <c r="Z47" s="1"/>
      <c r="AA47" s="1"/>
      <c r="AB47" s="1"/>
      <c r="AC47" s="1"/>
      <c r="AD47" s="1"/>
      <c r="AE47" s="1"/>
      <c r="AF47" s="56" t="s">
        <v>89</v>
      </c>
      <c r="AG47" s="58"/>
      <c r="AH47" s="1"/>
      <c r="AI47" s="1"/>
      <c r="AJ47" s="1"/>
      <c r="AK47" s="1"/>
      <c r="AL47" s="1"/>
      <c r="AM47" s="1"/>
      <c r="AN47" s="1"/>
      <c r="AO47" s="1"/>
      <c r="AP47" s="1"/>
      <c r="AQ47" s="1"/>
      <c r="AR47" s="1"/>
    </row>
    <row r="48" spans="2:44" ht="100" customHeight="1" thickBot="1">
      <c r="E48" s="229" t="s">
        <v>90</v>
      </c>
      <c r="F48" s="202"/>
      <c r="G48" s="222"/>
      <c r="H48" s="154">
        <f>G46+H46</f>
        <v>205431.2452</v>
      </c>
      <c r="P48" s="13"/>
      <c r="Q48" s="13"/>
      <c r="R48" s="13"/>
      <c r="S48" s="13"/>
      <c r="T48" s="13"/>
      <c r="U48" s="1"/>
      <c r="V48" s="1"/>
      <c r="W48" s="1"/>
      <c r="X48" s="1"/>
      <c r="Y48" s="1"/>
      <c r="Z48" s="1"/>
      <c r="AA48" s="1"/>
      <c r="AB48" s="1"/>
      <c r="AC48" s="1"/>
      <c r="AD48" s="1"/>
      <c r="AE48" s="1"/>
      <c r="AF48" s="56" t="s">
        <v>91</v>
      </c>
      <c r="AG48" s="58"/>
      <c r="AH48" s="1"/>
      <c r="AI48" s="1"/>
      <c r="AJ48" s="1"/>
      <c r="AK48" s="1"/>
      <c r="AL48" s="1"/>
      <c r="AM48" s="1"/>
      <c r="AN48" s="1"/>
      <c r="AO48" s="1"/>
      <c r="AP48" s="1"/>
      <c r="AQ48" s="1"/>
      <c r="AR48" s="1"/>
    </row>
    <row r="49" spans="2:33" ht="63" customHeight="1">
      <c r="AF49" s="56" t="s">
        <v>92</v>
      </c>
      <c r="AG49" s="59"/>
    </row>
    <row r="50" spans="2:33" ht="78">
      <c r="B50" s="172"/>
      <c r="AF50" s="56" t="s">
        <v>93</v>
      </c>
      <c r="AG50" s="59"/>
    </row>
    <row r="51" spans="2:33" ht="63" customHeight="1">
      <c r="C51" s="160"/>
      <c r="AF51" s="56" t="s">
        <v>94</v>
      </c>
      <c r="AG51" s="59"/>
    </row>
    <row r="52" spans="2:33" ht="92.25" customHeight="1">
      <c r="I52" s="73"/>
      <c r="J52" s="73"/>
      <c r="K52" s="208"/>
      <c r="L52" s="204"/>
      <c r="AF52" s="56" t="s">
        <v>95</v>
      </c>
      <c r="AG52" s="59"/>
    </row>
    <row r="53" spans="2:33" ht="153.75" customHeight="1">
      <c r="I53" s="74"/>
      <c r="J53" s="74"/>
      <c r="K53" s="216"/>
      <c r="L53" s="204"/>
      <c r="AF53" s="56" t="s">
        <v>96</v>
      </c>
      <c r="AG53" s="59"/>
    </row>
    <row r="54" spans="2:33" ht="82.5" customHeight="1">
      <c r="I54" s="75"/>
      <c r="J54" s="75"/>
      <c r="K54" s="226"/>
      <c r="L54" s="204"/>
      <c r="AF54" s="56" t="s">
        <v>97</v>
      </c>
      <c r="AG54" s="59"/>
    </row>
    <row r="55" spans="2:33" ht="63" customHeight="1">
      <c r="AF55" s="56" t="s">
        <v>98</v>
      </c>
      <c r="AG55" s="59"/>
    </row>
    <row r="56" spans="2:33" ht="63" customHeight="1">
      <c r="AF56" s="56" t="s">
        <v>99</v>
      </c>
      <c r="AG56" s="59"/>
    </row>
    <row r="57" spans="2:33" ht="63" customHeight="1">
      <c r="AF57" s="56" t="s">
        <v>100</v>
      </c>
      <c r="AG57" s="59"/>
    </row>
    <row r="58" spans="2:33" ht="63" customHeight="1">
      <c r="AF58" s="56" t="s">
        <v>101</v>
      </c>
      <c r="AG58" s="59"/>
    </row>
    <row r="59" spans="2:33" ht="63" customHeight="1">
      <c r="AF59" s="56" t="s">
        <v>102</v>
      </c>
      <c r="AG59" s="59"/>
    </row>
    <row r="60" spans="2:33" ht="63" customHeight="1">
      <c r="AF60" s="56" t="s">
        <v>103</v>
      </c>
      <c r="AG60" s="59"/>
    </row>
    <row r="61" spans="2:33" ht="63" customHeight="1">
      <c r="AF61" s="56" t="s">
        <v>104</v>
      </c>
      <c r="AG61" s="59"/>
    </row>
    <row r="62" spans="2:33" ht="63" customHeight="1">
      <c r="AF62" s="56" t="s">
        <v>105</v>
      </c>
      <c r="AG62" s="59"/>
    </row>
    <row r="63" spans="2:33" ht="72" customHeight="1">
      <c r="AF63" s="56" t="s">
        <v>106</v>
      </c>
      <c r="AG63" s="59"/>
    </row>
    <row r="64" spans="2:33" ht="63" customHeight="1">
      <c r="AF64" s="56" t="s">
        <v>107</v>
      </c>
      <c r="AG64" s="59"/>
    </row>
    <row r="65" spans="2:43" ht="63" customHeight="1">
      <c r="AF65" s="56" t="s">
        <v>108</v>
      </c>
      <c r="AG65" s="59"/>
    </row>
    <row r="66" spans="2:43" ht="63" customHeight="1">
      <c r="AF66" s="56" t="s">
        <v>109</v>
      </c>
      <c r="AG66" s="59"/>
    </row>
    <row r="67" spans="2:43" ht="63" customHeight="1">
      <c r="AF67" s="56" t="s">
        <v>110</v>
      </c>
      <c r="AG67" s="59"/>
    </row>
    <row r="68" spans="2:43" ht="63" customHeight="1">
      <c r="AF68" s="56" t="s">
        <v>111</v>
      </c>
      <c r="AG68" s="59"/>
    </row>
    <row r="69" spans="2:43" ht="63" customHeight="1">
      <c r="AF69" s="56" t="s">
        <v>112</v>
      </c>
      <c r="AG69" s="59"/>
    </row>
    <row r="70" spans="2:43" ht="63" customHeight="1">
      <c r="AF70" s="56" t="s">
        <v>113</v>
      </c>
      <c r="AG70" s="59"/>
    </row>
    <row r="71" spans="2:43" ht="63" customHeight="1">
      <c r="AF71" s="56" t="s">
        <v>114</v>
      </c>
      <c r="AG71" s="59"/>
    </row>
    <row r="72" spans="2:43" ht="63" customHeight="1">
      <c r="AF72" s="56" t="s">
        <v>115</v>
      </c>
      <c r="AG72" s="59"/>
    </row>
    <row r="73" spans="2:43" ht="63" customHeight="1">
      <c r="AF73" s="56" t="s">
        <v>116</v>
      </c>
      <c r="AG73" s="59"/>
    </row>
    <row r="74" spans="2:43" ht="63" customHeight="1">
      <c r="AF74" s="56" t="s">
        <v>117</v>
      </c>
      <c r="AG74" s="59"/>
    </row>
    <row r="75" spans="2:43" ht="63" customHeight="1">
      <c r="AF75" s="56" t="s">
        <v>118</v>
      </c>
      <c r="AG75" s="59"/>
    </row>
    <row r="76" spans="2:43" ht="63" customHeight="1">
      <c r="AF76" s="56" t="s">
        <v>119</v>
      </c>
      <c r="AG76" s="59"/>
      <c r="AO76" s="13"/>
      <c r="AP76" s="13"/>
      <c r="AQ76" s="13"/>
    </row>
    <row r="77" spans="2:43" ht="63" customHeight="1">
      <c r="AF77" s="56" t="s">
        <v>120</v>
      </c>
      <c r="AG77" s="59"/>
      <c r="AO77" s="13"/>
      <c r="AP77" s="13"/>
      <c r="AQ77" s="13"/>
    </row>
    <row r="78" spans="2:43">
      <c r="AO78" s="13"/>
      <c r="AP78" s="13"/>
      <c r="AQ78" s="13"/>
    </row>
    <row r="79" spans="2:43" ht="310.5" customHeight="1">
      <c r="B79" s="203" t="s">
        <v>121</v>
      </c>
      <c r="C79" s="202"/>
      <c r="D79" s="202"/>
      <c r="E79" s="202"/>
      <c r="F79" s="202"/>
      <c r="G79" s="202"/>
      <c r="H79" s="202"/>
      <c r="I79" s="204"/>
      <c r="J79" s="202"/>
      <c r="K79" s="202"/>
      <c r="L79" s="204"/>
      <c r="M79" s="204"/>
      <c r="N79" s="204"/>
      <c r="O79" s="204"/>
      <c r="P79" s="204"/>
      <c r="Q79" s="204"/>
      <c r="R79" s="204"/>
      <c r="S79" s="204"/>
      <c r="T79" s="204"/>
      <c r="U79" s="205"/>
      <c r="V79" s="205"/>
      <c r="W79" s="204"/>
      <c r="X79" s="204"/>
      <c r="Y79" s="204"/>
      <c r="Z79" s="204"/>
      <c r="AA79" s="202"/>
      <c r="AB79" s="204"/>
      <c r="AC79" s="205"/>
      <c r="AD79" s="204"/>
      <c r="AE79" s="205"/>
      <c r="AF79" s="206"/>
      <c r="AO79" s="13"/>
      <c r="AP79" s="13"/>
      <c r="AQ79" s="13"/>
    </row>
    <row r="80" spans="2:43">
      <c r="AO80" s="13"/>
      <c r="AP80" s="13"/>
      <c r="AQ80" s="13"/>
    </row>
    <row r="81" spans="1:40" s="13" customFormat="1">
      <c r="A81" s="1"/>
      <c r="B81" s="8"/>
      <c r="C81" s="8"/>
      <c r="D81" s="8"/>
      <c r="E81" s="8"/>
      <c r="F81" s="8"/>
      <c r="G81" s="8"/>
      <c r="H81" s="8"/>
      <c r="I81" s="8"/>
      <c r="J81" s="8"/>
      <c r="K81" s="8"/>
      <c r="L81" s="8"/>
      <c r="M81" s="8"/>
      <c r="N81" s="8"/>
      <c r="O81" s="8"/>
      <c r="P81" s="8"/>
      <c r="Q81" s="8"/>
      <c r="R81" s="8"/>
      <c r="S81" s="8"/>
      <c r="T81" s="8"/>
      <c r="U81" s="9"/>
      <c r="V81" s="9"/>
      <c r="W81" s="9"/>
      <c r="X81" s="9"/>
      <c r="Y81" s="9"/>
      <c r="Z81" s="9"/>
      <c r="AA81" s="8"/>
      <c r="AB81" s="8"/>
      <c r="AC81" s="9"/>
      <c r="AD81" s="9"/>
      <c r="AE81" s="9"/>
      <c r="AF81" s="6"/>
      <c r="AG81" s="9"/>
      <c r="AH81" s="8"/>
      <c r="AI81" s="8"/>
      <c r="AJ81" s="8"/>
      <c r="AK81" s="8"/>
      <c r="AL81" s="8"/>
      <c r="AM81" s="8"/>
      <c r="AN81" s="8"/>
    </row>
    <row r="82" spans="1:40" s="13" customFormat="1">
      <c r="A82" s="1"/>
      <c r="B82" s="8"/>
      <c r="C82" s="8"/>
      <c r="D82" s="8"/>
      <c r="E82" s="8"/>
      <c r="F82" s="8"/>
      <c r="G82" s="8"/>
      <c r="H82" s="8"/>
      <c r="I82" s="8"/>
      <c r="J82" s="8"/>
      <c r="K82" s="8"/>
      <c r="L82" s="8"/>
      <c r="M82" s="8"/>
      <c r="N82" s="8"/>
      <c r="O82" s="8"/>
      <c r="P82" s="8"/>
      <c r="Q82" s="8"/>
      <c r="R82" s="8"/>
      <c r="S82" s="8"/>
      <c r="T82" s="8"/>
      <c r="U82" s="9"/>
      <c r="V82" s="9"/>
      <c r="W82" s="9"/>
      <c r="X82" s="9"/>
      <c r="Y82" s="9"/>
      <c r="Z82" s="9"/>
      <c r="AA82" s="8"/>
      <c r="AB82" s="8"/>
      <c r="AC82" s="9"/>
      <c r="AD82" s="9"/>
      <c r="AE82" s="9"/>
      <c r="AF82" s="6"/>
      <c r="AG82" s="9"/>
      <c r="AH82" s="8"/>
      <c r="AI82" s="8"/>
      <c r="AJ82" s="8"/>
      <c r="AK82" s="8"/>
      <c r="AL82" s="8"/>
      <c r="AM82" s="8"/>
      <c r="AN82" s="8"/>
    </row>
    <row r="83" spans="1:40" s="13" customFormat="1">
      <c r="A83" s="1"/>
      <c r="B83" s="8"/>
      <c r="C83" s="8"/>
      <c r="D83" s="8"/>
      <c r="E83" s="8"/>
      <c r="F83" s="8"/>
      <c r="G83" s="8"/>
      <c r="H83" s="8"/>
      <c r="I83" s="8"/>
      <c r="J83" s="8"/>
      <c r="K83" s="8"/>
      <c r="L83" s="8"/>
      <c r="M83" s="8"/>
      <c r="N83" s="8"/>
      <c r="O83" s="8"/>
      <c r="P83" s="8"/>
      <c r="Q83" s="8"/>
      <c r="R83" s="8"/>
      <c r="S83" s="8"/>
      <c r="T83" s="8"/>
      <c r="U83" s="9"/>
      <c r="V83" s="9"/>
      <c r="W83" s="9"/>
      <c r="X83" s="9"/>
      <c r="Y83" s="9"/>
      <c r="Z83" s="9"/>
      <c r="AA83" s="8"/>
      <c r="AB83" s="8"/>
      <c r="AC83" s="9"/>
      <c r="AD83" s="9"/>
      <c r="AE83" s="9"/>
      <c r="AF83" s="6"/>
      <c r="AG83" s="9"/>
      <c r="AH83" s="8"/>
      <c r="AI83" s="8"/>
      <c r="AJ83" s="8"/>
      <c r="AK83" s="8"/>
      <c r="AL83" s="8"/>
      <c r="AM83" s="8"/>
      <c r="AN83" s="8"/>
    </row>
    <row r="84" spans="1:40" s="13" customFormat="1">
      <c r="A84" s="1"/>
      <c r="B84" s="8"/>
      <c r="C84" s="8"/>
      <c r="D84" s="8"/>
      <c r="E84" s="8"/>
      <c r="F84" s="8"/>
      <c r="G84" s="8"/>
      <c r="H84" s="8"/>
      <c r="I84" s="8"/>
      <c r="J84" s="8"/>
      <c r="K84" s="8"/>
      <c r="L84" s="8"/>
      <c r="M84" s="8"/>
      <c r="N84" s="8"/>
      <c r="O84" s="8"/>
      <c r="P84" s="8"/>
      <c r="Q84" s="8"/>
      <c r="R84" s="8"/>
      <c r="S84" s="8"/>
      <c r="T84" s="8"/>
      <c r="U84" s="9"/>
      <c r="V84" s="9"/>
      <c r="W84" s="9"/>
      <c r="X84" s="9"/>
      <c r="Y84" s="9"/>
      <c r="Z84" s="9"/>
      <c r="AA84" s="8"/>
      <c r="AB84" s="8"/>
      <c r="AC84" s="9"/>
      <c r="AD84" s="9"/>
      <c r="AE84" s="9"/>
      <c r="AF84" s="6"/>
      <c r="AG84" s="9"/>
      <c r="AH84" s="8"/>
      <c r="AI84" s="8"/>
      <c r="AJ84" s="8"/>
      <c r="AK84" s="8"/>
      <c r="AL84" s="8"/>
      <c r="AM84" s="8"/>
      <c r="AN84" s="8"/>
    </row>
    <row r="85" spans="1:40" s="13" customFormat="1">
      <c r="A85" s="1"/>
      <c r="B85" s="8"/>
      <c r="C85" s="8"/>
      <c r="D85" s="8"/>
      <c r="E85" s="8"/>
      <c r="F85" s="8"/>
      <c r="G85" s="8"/>
      <c r="H85" s="8"/>
      <c r="I85" s="8"/>
      <c r="J85" s="8"/>
      <c r="K85" s="8"/>
      <c r="L85" s="8"/>
      <c r="M85" s="8"/>
      <c r="N85" s="8"/>
      <c r="O85" s="8"/>
      <c r="P85" s="8"/>
      <c r="Q85" s="8"/>
      <c r="R85" s="8"/>
      <c r="S85" s="8"/>
      <c r="T85" s="8"/>
      <c r="U85" s="9"/>
      <c r="V85" s="9"/>
      <c r="W85" s="9"/>
      <c r="X85" s="9"/>
      <c r="Y85" s="9"/>
      <c r="Z85" s="9"/>
      <c r="AA85" s="8"/>
      <c r="AB85" s="8"/>
      <c r="AC85" s="9"/>
      <c r="AD85" s="9"/>
      <c r="AE85" s="9"/>
      <c r="AF85" s="6"/>
      <c r="AG85" s="9"/>
      <c r="AH85" s="8"/>
      <c r="AI85" s="8"/>
      <c r="AJ85" s="8"/>
      <c r="AK85" s="8"/>
      <c r="AL85" s="8"/>
      <c r="AM85" s="8"/>
      <c r="AN85" s="8"/>
    </row>
    <row r="86" spans="1:40" s="13" customFormat="1">
      <c r="A86" s="1"/>
      <c r="B86" s="8"/>
      <c r="C86" s="8"/>
      <c r="D86" s="8"/>
      <c r="E86" s="8"/>
      <c r="F86" s="8"/>
      <c r="G86" s="8"/>
      <c r="H86" s="8"/>
      <c r="I86" s="8"/>
      <c r="J86" s="8"/>
      <c r="K86" s="8"/>
      <c r="L86" s="8"/>
      <c r="M86" s="8"/>
      <c r="N86" s="8"/>
      <c r="O86" s="8"/>
      <c r="P86" s="8"/>
      <c r="Q86" s="8"/>
      <c r="R86" s="8"/>
      <c r="S86" s="8"/>
      <c r="T86" s="8"/>
      <c r="U86" s="9"/>
      <c r="V86" s="9"/>
      <c r="W86" s="9"/>
      <c r="X86" s="9"/>
      <c r="Y86" s="9"/>
      <c r="Z86" s="9"/>
      <c r="AA86" s="8"/>
      <c r="AB86" s="8"/>
      <c r="AC86" s="9"/>
      <c r="AD86" s="9"/>
      <c r="AE86" s="9"/>
      <c r="AF86" s="6"/>
      <c r="AG86" s="9"/>
      <c r="AH86" s="8"/>
      <c r="AI86" s="8"/>
      <c r="AJ86" s="8"/>
      <c r="AK86" s="8"/>
      <c r="AL86" s="8"/>
      <c r="AM86" s="8"/>
      <c r="AN86" s="8"/>
    </row>
    <row r="87" spans="1:40" s="13" customFormat="1">
      <c r="A87" s="1"/>
      <c r="B87" s="8"/>
      <c r="C87" s="8"/>
      <c r="D87" s="8"/>
      <c r="E87" s="8"/>
      <c r="F87" s="8"/>
      <c r="G87" s="8"/>
      <c r="H87" s="8"/>
      <c r="I87" s="8"/>
      <c r="J87" s="8"/>
      <c r="K87" s="8"/>
      <c r="L87" s="8"/>
      <c r="M87" s="8"/>
      <c r="N87" s="8"/>
      <c r="O87" s="8"/>
      <c r="P87" s="8"/>
      <c r="Q87" s="8"/>
      <c r="R87" s="8"/>
      <c r="S87" s="8"/>
      <c r="T87" s="8"/>
      <c r="U87" s="9"/>
      <c r="V87" s="9"/>
      <c r="W87" s="9"/>
      <c r="X87" s="9"/>
      <c r="Y87" s="9"/>
      <c r="Z87" s="9"/>
      <c r="AA87" s="8"/>
      <c r="AB87" s="8"/>
      <c r="AC87" s="9"/>
      <c r="AD87" s="9"/>
      <c r="AE87" s="9"/>
      <c r="AF87" s="6"/>
      <c r="AG87" s="9"/>
      <c r="AH87" s="8"/>
      <c r="AI87" s="8"/>
      <c r="AJ87" s="8"/>
      <c r="AK87" s="8"/>
      <c r="AL87" s="8"/>
      <c r="AM87" s="8"/>
      <c r="AN87" s="8"/>
    </row>
    <row r="88" spans="1:40" s="13" customFormat="1">
      <c r="A88" s="1"/>
      <c r="B88" s="8"/>
      <c r="C88" s="8"/>
      <c r="D88" s="8"/>
      <c r="E88" s="8"/>
      <c r="F88" s="8"/>
      <c r="G88" s="8"/>
      <c r="H88" s="8"/>
      <c r="I88" s="8"/>
      <c r="J88" s="8"/>
      <c r="K88" s="8"/>
      <c r="L88" s="8"/>
      <c r="M88" s="8"/>
      <c r="N88" s="8"/>
      <c r="O88" s="8"/>
      <c r="P88" s="8"/>
      <c r="Q88" s="8"/>
      <c r="R88" s="8"/>
      <c r="S88" s="8"/>
      <c r="T88" s="8"/>
      <c r="U88" s="9"/>
      <c r="V88" s="9"/>
      <c r="W88" s="9"/>
      <c r="X88" s="9"/>
      <c r="Y88" s="9"/>
      <c r="Z88" s="9"/>
      <c r="AA88" s="8"/>
      <c r="AB88" s="8"/>
      <c r="AC88" s="9"/>
      <c r="AD88" s="9"/>
      <c r="AE88" s="9"/>
      <c r="AF88" s="6"/>
      <c r="AG88" s="9"/>
      <c r="AH88" s="8"/>
      <c r="AI88" s="8"/>
      <c r="AJ88" s="8"/>
      <c r="AK88" s="8"/>
      <c r="AL88" s="8"/>
      <c r="AM88" s="8"/>
      <c r="AN88" s="8"/>
    </row>
    <row r="89" spans="1:40" s="13" customFormat="1">
      <c r="A89" s="1"/>
      <c r="B89" s="8"/>
      <c r="C89" s="8"/>
      <c r="D89" s="8"/>
      <c r="E89" s="8"/>
      <c r="F89" s="8"/>
      <c r="G89" s="8"/>
      <c r="H89" s="8"/>
      <c r="I89" s="8"/>
      <c r="J89" s="8"/>
      <c r="K89" s="8"/>
      <c r="L89" s="8"/>
      <c r="M89" s="8"/>
      <c r="N89" s="8"/>
      <c r="O89" s="8"/>
      <c r="P89" s="8"/>
      <c r="Q89" s="8"/>
      <c r="R89" s="8"/>
      <c r="S89" s="8"/>
      <c r="T89" s="8"/>
      <c r="U89" s="9"/>
      <c r="V89" s="9"/>
      <c r="W89" s="9"/>
      <c r="X89" s="9"/>
      <c r="Y89" s="9"/>
      <c r="Z89" s="9"/>
      <c r="AA89" s="8"/>
      <c r="AB89" s="8"/>
      <c r="AC89" s="9"/>
      <c r="AD89" s="9"/>
      <c r="AE89" s="9"/>
      <c r="AF89" s="6"/>
      <c r="AG89" s="9"/>
      <c r="AH89" s="8"/>
      <c r="AI89" s="8"/>
      <c r="AJ89" s="8"/>
      <c r="AK89" s="8"/>
      <c r="AL89" s="8"/>
      <c r="AM89" s="8"/>
      <c r="AN89" s="8"/>
    </row>
    <row r="90" spans="1:40" s="13" customFormat="1">
      <c r="A90" s="1"/>
      <c r="B90" s="8"/>
      <c r="C90" s="8"/>
      <c r="D90" s="8"/>
      <c r="E90" s="8"/>
      <c r="F90" s="8"/>
      <c r="G90" s="8"/>
      <c r="H90" s="8"/>
      <c r="I90" s="8"/>
      <c r="J90" s="8"/>
      <c r="K90" s="8"/>
      <c r="L90" s="8"/>
      <c r="M90" s="8"/>
      <c r="N90" s="8"/>
      <c r="O90" s="8"/>
      <c r="P90" s="8"/>
      <c r="Q90" s="8"/>
      <c r="R90" s="8"/>
      <c r="S90" s="8"/>
      <c r="T90" s="8"/>
      <c r="U90" s="9"/>
      <c r="V90" s="9"/>
      <c r="W90" s="9"/>
      <c r="X90" s="9"/>
      <c r="Y90" s="9"/>
      <c r="Z90" s="9"/>
      <c r="AA90" s="8"/>
      <c r="AB90" s="8"/>
      <c r="AC90" s="9"/>
      <c r="AD90" s="9"/>
      <c r="AE90" s="9"/>
      <c r="AF90" s="6"/>
      <c r="AG90" s="9"/>
      <c r="AH90" s="8"/>
      <c r="AI90" s="8"/>
      <c r="AJ90" s="8"/>
      <c r="AK90" s="8"/>
      <c r="AL90" s="8"/>
      <c r="AM90" s="8"/>
      <c r="AN90" s="8"/>
    </row>
    <row r="91" spans="1:40" s="13" customFormat="1">
      <c r="A91" s="1"/>
      <c r="B91" s="8"/>
      <c r="C91" s="8"/>
      <c r="D91" s="8"/>
      <c r="E91" s="8"/>
      <c r="F91" s="8"/>
      <c r="G91" s="8"/>
      <c r="H91" s="8"/>
      <c r="I91" s="8"/>
      <c r="J91" s="8"/>
      <c r="K91" s="8"/>
      <c r="L91" s="8"/>
      <c r="M91" s="8"/>
      <c r="N91" s="8"/>
      <c r="O91" s="8"/>
      <c r="P91" s="8"/>
      <c r="Q91" s="8"/>
      <c r="R91" s="8"/>
      <c r="S91" s="8"/>
      <c r="T91" s="8"/>
      <c r="U91" s="9"/>
      <c r="V91" s="9"/>
      <c r="W91" s="9"/>
      <c r="X91" s="9"/>
      <c r="Y91" s="9"/>
      <c r="Z91" s="9"/>
      <c r="AA91" s="8"/>
      <c r="AB91" s="8"/>
      <c r="AC91" s="9"/>
      <c r="AD91" s="9"/>
      <c r="AE91" s="9"/>
      <c r="AF91" s="6"/>
      <c r="AG91" s="9"/>
      <c r="AH91" s="8"/>
      <c r="AI91" s="8"/>
      <c r="AJ91" s="8"/>
      <c r="AK91" s="8"/>
      <c r="AL91" s="8"/>
      <c r="AM91" s="8"/>
      <c r="AN91" s="8"/>
    </row>
  </sheetData>
  <sheetProtection sheet="1" formatCells="0" formatColumns="0" formatRows="0" insertColumns="0" insertRows="0" deleteColumns="0" deleteRows="0" sort="0" autoFilter="0" pivotTables="0"/>
  <mergeCells count="23">
    <mergeCell ref="G26:J26"/>
    <mergeCell ref="AA10:AB10"/>
    <mergeCell ref="K54:L54"/>
    <mergeCell ref="B2:O2"/>
    <mergeCell ref="R22:T22"/>
    <mergeCell ref="E48:G48"/>
    <mergeCell ref="B26:F26"/>
    <mergeCell ref="AO8:AR8"/>
    <mergeCell ref="AF43:AF45"/>
    <mergeCell ref="B8:B17"/>
    <mergeCell ref="B79:AF79"/>
    <mergeCell ref="B1:O1"/>
    <mergeCell ref="K52:L52"/>
    <mergeCell ref="AH9:AI9"/>
    <mergeCell ref="K23:K24"/>
    <mergeCell ref="K26:N26"/>
    <mergeCell ref="P7:Q7"/>
    <mergeCell ref="D8:E8"/>
    <mergeCell ref="K53:L53"/>
    <mergeCell ref="O26:O28"/>
    <mergeCell ref="B5:C5"/>
    <mergeCell ref="D46:F46"/>
    <mergeCell ref="AA11:AB11"/>
  </mergeCells>
  <conditionalFormatting sqref="G29:G43">
    <cfRule type="cellIs" priority="1" operator="between">
      <formula>0</formula>
      <formula>0.08</formula>
    </cfRule>
  </conditionalFormatting>
  <dataValidations count="2">
    <dataValidation type="list" allowBlank="1" showInputMessage="1" showErrorMessage="1" sqref="G29:G43" xr:uid="{00000000-0002-0000-0000-000000000000}">
      <formula1>"0%,1%,2%,3%,4%,5%,6%"</formula1>
    </dataValidation>
    <dataValidation type="list" allowBlank="1" showInputMessage="1" showErrorMessage="1" sqref="J29:J43" xr:uid="{00000000-0002-0000-0000-000001000000}">
      <formula1>"SI, NO"</formula1>
    </dataValidation>
  </dataValidations>
  <pageMargins left="0.7" right="0.7" top="0.75" bottom="0.75" header="0.3" footer="0.3"/>
  <pageSetup paperSize="9" scale="10" fitToHeight="2"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C00000"/>
    <pageSetUpPr fitToPage="1"/>
  </sheetPr>
  <dimension ref="A1:BL87"/>
  <sheetViews>
    <sheetView showGridLines="0" zoomScale="20" zoomScaleNormal="20" zoomScaleSheetLayoutView="50" workbookViewId="0">
      <selection activeCell="H4" sqref="H4"/>
    </sheetView>
  </sheetViews>
  <sheetFormatPr baseColWidth="10" defaultColWidth="8.83203125" defaultRowHeight="26"/>
  <cols>
    <col min="1" max="1" width="4.6640625" style="1" customWidth="1"/>
    <col min="2" max="2" width="33.33203125" style="60" customWidth="1"/>
    <col min="3" max="9" width="60.5" style="60" customWidth="1"/>
    <col min="10" max="15" width="60.5" style="60" hidden="1" customWidth="1"/>
    <col min="16" max="16" width="64.6640625" style="60" customWidth="1"/>
    <col min="17" max="21" width="60.5" style="60" customWidth="1"/>
    <col min="22" max="22" width="51.83203125" style="60" customWidth="1"/>
    <col min="23" max="31" width="50.5" style="60" customWidth="1"/>
    <col min="32" max="32" width="76.5" style="60" customWidth="1"/>
    <col min="33" max="47" width="50.5" style="60" customWidth="1"/>
    <col min="48" max="48" width="40.5" style="60" customWidth="1"/>
    <col min="49" max="51" width="50.5" style="60" customWidth="1"/>
    <col min="52" max="52" width="50.5" style="102" customWidth="1"/>
    <col min="53" max="53" width="53.5" style="60" customWidth="1"/>
    <col min="54" max="55" width="50.5" style="60" customWidth="1"/>
    <col min="56" max="57" width="50.5" style="13" customWidth="1"/>
    <col min="58" max="67" width="50.5" style="1" customWidth="1"/>
    <col min="68" max="69" width="8.83203125" style="1" customWidth="1"/>
    <col min="70" max="16384" width="8.83203125" style="1"/>
  </cols>
  <sheetData>
    <row r="1" spans="1:64" ht="160" customHeight="1">
      <c r="B1" s="241" t="s">
        <v>122</v>
      </c>
      <c r="C1" s="239"/>
      <c r="D1" s="239"/>
      <c r="E1" s="239"/>
      <c r="F1" s="239"/>
      <c r="G1" s="239"/>
      <c r="H1" s="239"/>
      <c r="I1" s="239"/>
      <c r="J1" s="239"/>
      <c r="K1" s="239"/>
      <c r="L1" s="239"/>
      <c r="M1" s="239"/>
      <c r="N1" s="239"/>
      <c r="O1" s="239"/>
      <c r="P1" s="239"/>
      <c r="Q1" s="239"/>
      <c r="R1" s="239"/>
      <c r="S1" s="239"/>
      <c r="T1" s="239"/>
      <c r="U1" s="239"/>
    </row>
    <row r="2" spans="1:64" ht="87.75" customHeight="1">
      <c r="B2" s="242"/>
      <c r="C2" s="239"/>
      <c r="E2" s="243" t="s">
        <v>123</v>
      </c>
      <c r="F2" s="239"/>
      <c r="G2" s="239"/>
      <c r="H2" s="239"/>
      <c r="I2" s="239"/>
      <c r="J2" s="239"/>
      <c r="K2" s="239"/>
      <c r="L2" s="239"/>
      <c r="M2" s="239"/>
      <c r="N2" s="239"/>
      <c r="O2" s="239"/>
      <c r="P2" s="239"/>
      <c r="Q2" s="239"/>
      <c r="R2" s="239"/>
      <c r="S2" s="239"/>
      <c r="T2" s="77"/>
      <c r="U2" s="77"/>
      <c r="BF2" s="13"/>
      <c r="BG2" s="13"/>
      <c r="BH2" s="13"/>
      <c r="BI2" s="13"/>
    </row>
    <row r="3" spans="1:64" ht="87.75" customHeight="1">
      <c r="B3" s="161"/>
      <c r="C3" s="161"/>
      <c r="E3" s="44"/>
      <c r="F3" s="44"/>
      <c r="G3" s="44"/>
      <c r="H3" s="44"/>
      <c r="I3" s="44"/>
      <c r="J3" s="44"/>
      <c r="K3" s="44"/>
      <c r="L3" s="44"/>
      <c r="M3" s="44"/>
      <c r="N3" s="44"/>
      <c r="O3" s="44"/>
      <c r="P3" s="44"/>
      <c r="Q3" s="44"/>
      <c r="R3" s="44"/>
      <c r="S3" s="44"/>
      <c r="T3" s="77"/>
      <c r="U3" s="77"/>
      <c r="BF3" s="13"/>
      <c r="BG3" s="13"/>
      <c r="BH3" s="13"/>
      <c r="BI3" s="13"/>
    </row>
    <row r="4" spans="1:64" ht="79.5" customHeight="1">
      <c r="B4" s="1"/>
      <c r="C4" s="1"/>
      <c r="D4" s="1"/>
      <c r="E4" s="1"/>
      <c r="F4" s="1"/>
      <c r="G4" s="162"/>
      <c r="H4" s="70" t="s">
        <v>2</v>
      </c>
      <c r="I4" s="69"/>
      <c r="J4" s="159"/>
      <c r="K4" s="70" t="s">
        <v>3</v>
      </c>
      <c r="L4" s="65"/>
      <c r="M4" s="1"/>
      <c r="N4" s="1"/>
      <c r="O4" s="1"/>
      <c r="P4" s="159"/>
      <c r="Q4" s="70" t="s">
        <v>3</v>
      </c>
      <c r="R4" s="65"/>
      <c r="S4" s="1"/>
      <c r="T4" s="1"/>
      <c r="U4" s="1"/>
      <c r="BF4" s="13"/>
      <c r="BG4" s="49"/>
      <c r="BH4" s="13"/>
      <c r="BI4" s="13"/>
    </row>
    <row r="5" spans="1:64" ht="15.75" customHeight="1" thickBot="1">
      <c r="A5" s="2"/>
      <c r="B5" s="219"/>
      <c r="C5" s="220"/>
      <c r="D5" s="80"/>
      <c r="E5" s="80"/>
      <c r="F5" s="80"/>
      <c r="G5" s="80"/>
      <c r="H5" s="80"/>
      <c r="I5" s="80"/>
      <c r="J5" s="80"/>
      <c r="K5" s="80"/>
      <c r="L5" s="80"/>
      <c r="M5" s="80"/>
      <c r="N5" s="80"/>
      <c r="O5" s="80"/>
      <c r="P5" s="80"/>
      <c r="Q5" s="47"/>
      <c r="R5" s="80"/>
      <c r="S5" s="78"/>
      <c r="T5" s="78"/>
      <c r="U5" s="78"/>
      <c r="BF5" s="13"/>
      <c r="BG5" s="13"/>
      <c r="BH5" s="13"/>
      <c r="BI5" s="13"/>
    </row>
    <row r="6" spans="1:64" ht="18.75" customHeight="1" thickTop="1">
      <c r="BF6" s="13"/>
      <c r="BG6" s="13"/>
      <c r="BH6" s="13"/>
      <c r="BI6" s="13"/>
    </row>
    <row r="7" spans="1:64" ht="75.75" hidden="1" customHeight="1">
      <c r="G7" s="5"/>
      <c r="P7" s="215" t="s">
        <v>124</v>
      </c>
      <c r="Q7" s="197"/>
      <c r="R7" s="210"/>
      <c r="S7" s="81">
        <v>2026</v>
      </c>
      <c r="T7" s="105"/>
      <c r="AP7" s="106" t="s">
        <v>12</v>
      </c>
      <c r="AQ7" s="107" t="s">
        <v>13</v>
      </c>
      <c r="AR7" s="108"/>
      <c r="AS7" s="108"/>
      <c r="AT7" s="108"/>
      <c r="AU7" s="108"/>
      <c r="AV7" s="108"/>
      <c r="AW7" s="108"/>
      <c r="AX7" s="108"/>
      <c r="AY7" s="109"/>
      <c r="BF7" s="13"/>
      <c r="BG7" s="13"/>
      <c r="BH7" s="13"/>
      <c r="BI7" s="13"/>
    </row>
    <row r="8" spans="1:64" ht="70" hidden="1" customHeight="1">
      <c r="B8" s="201" t="s">
        <v>5</v>
      </c>
      <c r="D8" s="215" t="s">
        <v>6</v>
      </c>
      <c r="E8" s="210"/>
      <c r="G8" s="84"/>
      <c r="P8" s="82" t="s">
        <v>55</v>
      </c>
      <c r="Q8" s="82" t="s">
        <v>9</v>
      </c>
      <c r="R8" s="82" t="s">
        <v>10</v>
      </c>
      <c r="S8" s="82" t="s">
        <v>11</v>
      </c>
      <c r="T8" s="102"/>
      <c r="AP8" s="110"/>
      <c r="AQ8" s="111"/>
      <c r="AR8" s="112"/>
      <c r="AS8" s="113">
        <v>2023</v>
      </c>
      <c r="AT8" s="113">
        <v>2024</v>
      </c>
      <c r="AU8" s="113">
        <v>2025</v>
      </c>
      <c r="AV8" s="113">
        <v>2026</v>
      </c>
      <c r="AW8" s="113">
        <v>2027</v>
      </c>
      <c r="AX8" s="113">
        <v>2029</v>
      </c>
      <c r="AY8" s="113">
        <v>2030</v>
      </c>
      <c r="BE8" s="66"/>
      <c r="BF8" s="16"/>
      <c r="BG8" s="16"/>
      <c r="BH8" s="16"/>
      <c r="BI8" s="13"/>
    </row>
    <row r="9" spans="1:64" ht="50.25" hidden="1" customHeight="1">
      <c r="B9" s="239"/>
      <c r="D9" s="114" t="s">
        <v>14</v>
      </c>
      <c r="E9" s="114">
        <v>315.04000000000002</v>
      </c>
      <c r="G9" s="87"/>
      <c r="P9" s="82">
        <v>0.01</v>
      </c>
      <c r="Q9" s="82">
        <v>746.04</v>
      </c>
      <c r="R9" s="82">
        <v>0</v>
      </c>
      <c r="S9" s="82">
        <v>1.92</v>
      </c>
      <c r="T9" s="102"/>
      <c r="AM9" s="103" t="s">
        <v>15</v>
      </c>
      <c r="AN9" s="104"/>
      <c r="AP9" s="89">
        <v>1</v>
      </c>
      <c r="AQ9" s="115"/>
      <c r="AR9" s="116" t="s">
        <v>20</v>
      </c>
      <c r="AS9" s="117">
        <v>3.15E-2</v>
      </c>
      <c r="AT9" s="117">
        <v>3.15E-2</v>
      </c>
      <c r="AU9" s="117">
        <v>3.15E-2</v>
      </c>
      <c r="AV9" s="117">
        <v>3.15E-2</v>
      </c>
      <c r="AW9" s="117">
        <v>3.15E-2</v>
      </c>
      <c r="AX9" s="117">
        <v>3.15E-2</v>
      </c>
      <c r="AY9" s="117">
        <v>3.15E-2</v>
      </c>
      <c r="BE9" s="67"/>
      <c r="BF9" s="13"/>
      <c r="BG9" s="13"/>
      <c r="BH9" s="13"/>
      <c r="BI9" s="13"/>
    </row>
    <row r="10" spans="1:64" ht="50.25" hidden="1" customHeight="1">
      <c r="B10" s="239"/>
      <c r="D10" s="118" t="s">
        <v>16</v>
      </c>
      <c r="E10" s="118">
        <v>117.31</v>
      </c>
      <c r="G10" s="87"/>
      <c r="P10" s="82">
        <v>746.05</v>
      </c>
      <c r="Q10" s="82">
        <v>6332.05</v>
      </c>
      <c r="R10" s="82">
        <v>14.32</v>
      </c>
      <c r="S10" s="82">
        <v>6.4</v>
      </c>
      <c r="T10" s="102"/>
      <c r="AB10" s="215" t="s">
        <v>17</v>
      </c>
      <c r="AC10" s="197"/>
      <c r="AD10" s="210"/>
      <c r="AM10" s="119" t="s">
        <v>18</v>
      </c>
      <c r="AN10" s="119" t="s">
        <v>19</v>
      </c>
      <c r="AP10" s="89">
        <v>1.01</v>
      </c>
      <c r="AQ10" s="115">
        <v>1.5</v>
      </c>
      <c r="AR10" s="116" t="s">
        <v>24</v>
      </c>
      <c r="AS10" s="117">
        <v>3.2809999999999999E-2</v>
      </c>
      <c r="AT10" s="117">
        <v>3.4130000000000001E-2</v>
      </c>
      <c r="AU10" s="117">
        <v>3.5439999999999999E-2</v>
      </c>
      <c r="AV10" s="117">
        <v>3.6760000000000001E-2</v>
      </c>
      <c r="AW10" s="117">
        <v>3.807E-2</v>
      </c>
      <c r="AX10" s="117">
        <v>4.07E-2</v>
      </c>
      <c r="AY10" s="117">
        <v>4.2020000000000002E-2</v>
      </c>
      <c r="BE10" s="68"/>
      <c r="BF10" s="13"/>
      <c r="BG10" s="13"/>
      <c r="BH10" s="13"/>
      <c r="BI10" s="13"/>
    </row>
    <row r="11" spans="1:64" ht="50.25" hidden="1" customHeight="1">
      <c r="B11" s="239"/>
      <c r="D11" s="118" t="s">
        <v>21</v>
      </c>
      <c r="E11" s="118">
        <v>351.93</v>
      </c>
      <c r="G11" s="87"/>
      <c r="P11" s="82">
        <v>6332.06</v>
      </c>
      <c r="Q11" s="82">
        <v>11128.01</v>
      </c>
      <c r="R11" s="82">
        <v>371.83</v>
      </c>
      <c r="S11" s="82">
        <v>10.88</v>
      </c>
      <c r="T11" s="102"/>
      <c r="AB11" s="230" t="s">
        <v>22</v>
      </c>
      <c r="AC11" s="197"/>
      <c r="AD11" s="210"/>
      <c r="AM11" s="120" t="s">
        <v>23</v>
      </c>
      <c r="AN11" s="120">
        <v>59</v>
      </c>
      <c r="AP11" s="89">
        <v>1.51</v>
      </c>
      <c r="AQ11" s="115">
        <v>2</v>
      </c>
      <c r="AR11" s="116" t="s">
        <v>29</v>
      </c>
      <c r="AS11" s="117">
        <v>3.5749999999999997E-2</v>
      </c>
      <c r="AT11" s="117">
        <v>0.04</v>
      </c>
      <c r="AU11" s="117">
        <v>4.4260000000000001E-2</v>
      </c>
      <c r="AV11" s="117">
        <v>4.8509999999999998E-2</v>
      </c>
      <c r="AW11" s="117">
        <v>5.2760000000000001E-2</v>
      </c>
      <c r="AX11" s="117">
        <v>6.1260000000000002E-2</v>
      </c>
      <c r="AY11" s="117">
        <v>6.5519999999999995E-2</v>
      </c>
      <c r="BE11" s="68"/>
      <c r="BF11" s="13"/>
      <c r="BG11" s="13"/>
      <c r="BH11" s="13"/>
      <c r="BI11" s="13"/>
    </row>
    <row r="12" spans="1:64" ht="50.25" hidden="1" customHeight="1">
      <c r="B12" s="239"/>
      <c r="D12" s="118" t="s">
        <v>25</v>
      </c>
      <c r="E12" s="121">
        <v>30</v>
      </c>
      <c r="G12" s="87"/>
      <c r="P12" s="82">
        <v>11128.02</v>
      </c>
      <c r="Q12" s="82">
        <v>12935.82</v>
      </c>
      <c r="R12" s="82">
        <v>893.63</v>
      </c>
      <c r="S12" s="82">
        <v>16</v>
      </c>
      <c r="T12" s="102"/>
      <c r="AB12" s="122" t="s">
        <v>26</v>
      </c>
      <c r="AC12" s="122" t="s">
        <v>27</v>
      </c>
      <c r="AD12" s="122" t="s">
        <v>125</v>
      </c>
      <c r="AM12" s="120" t="s">
        <v>28</v>
      </c>
      <c r="AN12" s="120">
        <v>61</v>
      </c>
      <c r="AP12" s="89">
        <v>2.0099999999999998</v>
      </c>
      <c r="AQ12" s="115">
        <v>2.5</v>
      </c>
      <c r="AR12" s="116" t="s">
        <v>29</v>
      </c>
      <c r="AS12" s="117">
        <v>3.7510000000000002E-2</v>
      </c>
      <c r="AT12" s="117">
        <v>4.3529999999999999E-2</v>
      </c>
      <c r="AU12" s="117">
        <v>4.9540000000000001E-2</v>
      </c>
      <c r="AV12" s="117">
        <v>5.5559999999999998E-2</v>
      </c>
      <c r="AW12" s="117">
        <v>6.157E-2</v>
      </c>
      <c r="AX12" s="117">
        <v>7.3599999999999999E-2</v>
      </c>
      <c r="AY12" s="117">
        <v>7.9619999999999996E-2</v>
      </c>
      <c r="BE12" s="68"/>
      <c r="BF12" s="13"/>
      <c r="BG12" s="13"/>
      <c r="BH12" s="13"/>
      <c r="BI12" s="13"/>
    </row>
    <row r="13" spans="1:64" ht="50.25" hidden="1" customHeight="1">
      <c r="B13" s="239"/>
      <c r="D13" s="118" t="s">
        <v>30</v>
      </c>
      <c r="E13" s="123">
        <v>0.25</v>
      </c>
      <c r="G13" s="87"/>
      <c r="P13" s="82">
        <v>12935.83</v>
      </c>
      <c r="Q13" s="82">
        <v>15487.71</v>
      </c>
      <c r="R13" s="82">
        <v>1182.8800000000001</v>
      </c>
      <c r="S13" s="82">
        <v>17.920000000000002</v>
      </c>
      <c r="T13" s="102"/>
      <c r="AB13" s="82" t="s">
        <v>31</v>
      </c>
      <c r="AC13" s="124">
        <v>0.54354999999999998</v>
      </c>
      <c r="AD13" s="124" t="s">
        <v>126</v>
      </c>
      <c r="AM13" s="120" t="s">
        <v>32</v>
      </c>
      <c r="AN13" s="120">
        <v>61</v>
      </c>
      <c r="AP13" s="89">
        <v>2.5099999999999998</v>
      </c>
      <c r="AQ13" s="115">
        <v>3</v>
      </c>
      <c r="AR13" s="116" t="s">
        <v>29</v>
      </c>
      <c r="AS13" s="117">
        <v>3.8690000000000002E-2</v>
      </c>
      <c r="AT13" s="117">
        <v>4.5879999999999997E-2</v>
      </c>
      <c r="AU13" s="117">
        <v>5.3069999999999999E-2</v>
      </c>
      <c r="AV13" s="117">
        <v>6.0260000000000001E-2</v>
      </c>
      <c r="AW13" s="117">
        <v>6.7449999999999996E-2</v>
      </c>
      <c r="AX13" s="117">
        <v>8.183E-2</v>
      </c>
      <c r="AY13" s="117">
        <v>8.9020000000000002E-2</v>
      </c>
      <c r="BE13" s="68"/>
      <c r="BF13" s="13"/>
      <c r="BG13" s="13"/>
      <c r="BH13" s="13"/>
      <c r="BI13" s="13"/>
    </row>
    <row r="14" spans="1:64" ht="50.25" hidden="1" customHeight="1">
      <c r="B14" s="239"/>
      <c r="D14" s="118" t="s">
        <v>33</v>
      </c>
      <c r="E14" s="118">
        <v>30</v>
      </c>
      <c r="G14" s="87"/>
      <c r="P14" s="82">
        <v>15487.72</v>
      </c>
      <c r="Q14" s="82">
        <v>31236.49</v>
      </c>
      <c r="R14" s="82">
        <v>1640.48</v>
      </c>
      <c r="S14" s="82">
        <v>21.36</v>
      </c>
      <c r="T14" s="102"/>
      <c r="AB14" s="82" t="s">
        <v>35</v>
      </c>
      <c r="AC14" s="82">
        <v>1.1306499999999999</v>
      </c>
      <c r="AD14" s="82" t="s">
        <v>127</v>
      </c>
      <c r="AM14" s="120" t="s">
        <v>36</v>
      </c>
      <c r="AN14" s="120">
        <v>62</v>
      </c>
      <c r="AP14" s="89">
        <v>3.01</v>
      </c>
      <c r="AQ14" s="115">
        <v>3.5</v>
      </c>
      <c r="AR14" s="116" t="s">
        <v>29</v>
      </c>
      <c r="AS14" s="117">
        <v>3.9530000000000003E-2</v>
      </c>
      <c r="AT14" s="117">
        <v>4.7559999999999998E-2</v>
      </c>
      <c r="AU14" s="117">
        <v>5.5590000000000001E-2</v>
      </c>
      <c r="AV14" s="117">
        <v>6.361E-2</v>
      </c>
      <c r="AW14" s="117">
        <v>7.1639999999999995E-2</v>
      </c>
      <c r="AX14" s="117">
        <v>8.77E-2</v>
      </c>
      <c r="AY14" s="117">
        <v>9.5729999999999996E-2</v>
      </c>
      <c r="BE14" s="68"/>
      <c r="BF14" s="39"/>
      <c r="BG14" s="39"/>
      <c r="BH14" s="39"/>
      <c r="BI14" s="39"/>
      <c r="BJ14" s="39"/>
      <c r="BK14" s="39"/>
      <c r="BL14" s="39"/>
    </row>
    <row r="15" spans="1:64" ht="50.25" hidden="1" customHeight="1">
      <c r="B15" s="239"/>
      <c r="D15" s="118" t="s">
        <v>37</v>
      </c>
      <c r="E15" s="121">
        <v>12</v>
      </c>
      <c r="G15" s="87"/>
      <c r="P15" s="82">
        <v>31236.5</v>
      </c>
      <c r="Q15" s="82">
        <v>49233</v>
      </c>
      <c r="R15" s="82">
        <v>5004.12</v>
      </c>
      <c r="S15" s="82">
        <v>23.52</v>
      </c>
      <c r="T15" s="102"/>
      <c r="AB15" s="82" t="s">
        <v>39</v>
      </c>
      <c r="AC15" s="82">
        <v>2.5983999999999998</v>
      </c>
      <c r="AD15" s="82" t="s">
        <v>128</v>
      </c>
      <c r="AM15" s="120" t="s">
        <v>40</v>
      </c>
      <c r="AN15" s="120">
        <v>61</v>
      </c>
      <c r="AP15" s="89">
        <v>3.51</v>
      </c>
      <c r="AQ15" s="115">
        <v>4</v>
      </c>
      <c r="AR15" s="116" t="s">
        <v>29</v>
      </c>
      <c r="AS15" s="117">
        <v>4.0160000000000001E-2</v>
      </c>
      <c r="AT15" s="117">
        <v>4.8820000000000002E-2</v>
      </c>
      <c r="AU15" s="117">
        <v>5.747E-2</v>
      </c>
      <c r="AV15" s="117">
        <v>6.6129999999999994E-2</v>
      </c>
      <c r="AW15" s="117">
        <v>7.4789999999999995E-2</v>
      </c>
      <c r="AX15" s="117">
        <v>9.2109999999999997E-2</v>
      </c>
      <c r="AY15" s="117">
        <v>0.10077</v>
      </c>
      <c r="BE15" s="68"/>
      <c r="BF15" s="13"/>
      <c r="BG15" s="13"/>
      <c r="BH15" s="13"/>
      <c r="BI15" s="13"/>
      <c r="BJ15" s="13"/>
    </row>
    <row r="16" spans="1:64" ht="50.25" hidden="1" customHeight="1">
      <c r="B16" s="239"/>
      <c r="D16" s="125" t="s">
        <v>41</v>
      </c>
      <c r="E16" s="126">
        <v>15</v>
      </c>
      <c r="G16" s="87"/>
      <c r="P16" s="82">
        <v>49233.01</v>
      </c>
      <c r="Q16" s="82">
        <v>93993.9</v>
      </c>
      <c r="R16" s="82">
        <v>9236.89</v>
      </c>
      <c r="S16" s="82">
        <v>30</v>
      </c>
      <c r="T16" s="102"/>
      <c r="AB16" s="82" t="s">
        <v>43</v>
      </c>
      <c r="AC16" s="82">
        <v>4.6532499999999999</v>
      </c>
      <c r="AD16" s="82" t="s">
        <v>129</v>
      </c>
      <c r="AM16" s="120" t="s">
        <v>44</v>
      </c>
      <c r="AN16" s="120">
        <v>61</v>
      </c>
      <c r="AP16" s="89">
        <v>4.01</v>
      </c>
      <c r="AQ16" s="115" t="s">
        <v>47</v>
      </c>
      <c r="AR16" s="116" t="s">
        <v>48</v>
      </c>
      <c r="AS16" s="117">
        <v>4.2410000000000003E-2</v>
      </c>
      <c r="AT16" s="117">
        <v>5.3310000000000003E-2</v>
      </c>
      <c r="AU16" s="117">
        <v>6.4219999999999999E-2</v>
      </c>
      <c r="AV16" s="117">
        <v>7.5130000000000002E-2</v>
      </c>
      <c r="AW16" s="117">
        <v>8.6029999999999995E-2</v>
      </c>
      <c r="AX16" s="117">
        <v>0.10784000000000001</v>
      </c>
      <c r="AY16" s="117">
        <v>0.11874999999999999</v>
      </c>
      <c r="BE16" s="68"/>
      <c r="BF16" s="13"/>
      <c r="BG16" s="13"/>
      <c r="BH16" s="13"/>
      <c r="BI16" s="13"/>
      <c r="BJ16" s="13"/>
    </row>
    <row r="17" spans="1:64" ht="50.25" hidden="1" customHeight="1">
      <c r="B17" s="239"/>
      <c r="G17" s="87"/>
      <c r="P17" s="82">
        <v>93993.91</v>
      </c>
      <c r="Q17" s="82">
        <v>125325.2</v>
      </c>
      <c r="R17" s="82">
        <v>22665.17</v>
      </c>
      <c r="S17" s="82">
        <v>32</v>
      </c>
      <c r="T17" s="102"/>
      <c r="AB17" s="82" t="s">
        <v>46</v>
      </c>
      <c r="AC17" s="82">
        <v>7.5887500000000001</v>
      </c>
      <c r="AD17" s="82" t="s">
        <v>130</v>
      </c>
      <c r="BE17" s="68"/>
      <c r="BF17" s="13"/>
      <c r="BG17" s="13"/>
      <c r="BH17" s="13"/>
      <c r="BI17" s="13"/>
      <c r="BJ17" s="13"/>
    </row>
    <row r="18" spans="1:64" ht="50.25" hidden="1" customHeight="1">
      <c r="G18" s="87"/>
      <c r="P18" s="82">
        <v>125325.21</v>
      </c>
      <c r="Q18" s="82">
        <v>375975.61</v>
      </c>
      <c r="R18" s="82">
        <v>32691.18</v>
      </c>
      <c r="S18" s="82">
        <v>34</v>
      </c>
      <c r="T18" s="102"/>
      <c r="BF18" s="13"/>
      <c r="BG18" s="13"/>
      <c r="BH18" s="13"/>
      <c r="BI18" s="13"/>
      <c r="BJ18" s="13"/>
    </row>
    <row r="19" spans="1:64" ht="50.25" hidden="1" customHeight="1">
      <c r="B19" s="2"/>
      <c r="C19" s="2"/>
      <c r="G19" s="87"/>
      <c r="P19" s="82">
        <v>375975.62</v>
      </c>
      <c r="Q19" s="82" t="s">
        <v>47</v>
      </c>
      <c r="R19" s="82">
        <v>117912.32000000001</v>
      </c>
      <c r="S19" s="82">
        <v>35</v>
      </c>
      <c r="T19" s="102"/>
      <c r="AC19" s="2"/>
      <c r="BF19" s="13"/>
      <c r="BG19" s="13"/>
      <c r="BH19" s="13"/>
      <c r="BI19" s="13"/>
      <c r="BJ19" s="13"/>
    </row>
    <row r="20" spans="1:64" ht="33.75" customHeight="1" thickBot="1">
      <c r="B20" s="76"/>
      <c r="C20" s="76"/>
      <c r="G20" s="90"/>
      <c r="P20" s="102"/>
      <c r="Q20" s="102"/>
      <c r="R20" s="102"/>
      <c r="S20" s="102"/>
      <c r="T20" s="102"/>
      <c r="AC20" s="140"/>
      <c r="AJ20" s="127" t="s">
        <v>51</v>
      </c>
      <c r="AK20" s="127"/>
      <c r="AL20" s="127"/>
      <c r="AM20" s="127"/>
      <c r="AT20" s="141"/>
      <c r="AU20" s="139"/>
      <c r="AW20" s="142"/>
      <c r="BF20" s="13"/>
      <c r="BG20" s="13"/>
      <c r="BH20" s="13"/>
      <c r="BI20" s="13"/>
      <c r="BJ20" s="13"/>
    </row>
    <row r="21" spans="1:64" ht="50.25" customHeight="1" thickBot="1">
      <c r="B21" s="42" t="s">
        <v>131</v>
      </c>
      <c r="C21" s="42" t="s">
        <v>53</v>
      </c>
      <c r="G21" s="90"/>
      <c r="P21" s="102"/>
      <c r="Q21" s="102"/>
      <c r="R21" s="102"/>
      <c r="S21" s="102"/>
      <c r="T21" s="102"/>
      <c r="V21" s="128"/>
      <c r="AC21" s="129" t="s">
        <v>132</v>
      </c>
      <c r="AG21" s="139"/>
      <c r="AH21" s="139"/>
      <c r="AO21" s="130"/>
      <c r="AR21" s="131"/>
      <c r="BF21" s="13"/>
      <c r="BG21" s="13"/>
      <c r="BH21" s="13"/>
      <c r="BI21" s="13"/>
      <c r="BJ21" s="13"/>
    </row>
    <row r="22" spans="1:64" ht="51.5" customHeight="1" thickBot="1">
      <c r="B22" s="33" t="s">
        <v>54</v>
      </c>
      <c r="C22" s="43">
        <v>46023</v>
      </c>
      <c r="P22" s="138" t="s">
        <v>133</v>
      </c>
      <c r="R22" s="139"/>
      <c r="T22" s="102"/>
      <c r="U22" s="140"/>
      <c r="V22" s="33" t="s">
        <v>10</v>
      </c>
      <c r="W22" s="237" t="s">
        <v>134</v>
      </c>
      <c r="X22" s="238"/>
      <c r="Y22" s="237" t="s">
        <v>135</v>
      </c>
      <c r="Z22" s="238"/>
      <c r="AA22" s="237" t="s">
        <v>136</v>
      </c>
      <c r="AB22" s="238"/>
      <c r="AC22" s="33" t="s">
        <v>137</v>
      </c>
      <c r="AD22" s="237" t="s">
        <v>138</v>
      </c>
      <c r="AE22" s="238"/>
      <c r="AF22" s="33" t="s">
        <v>139</v>
      </c>
      <c r="AG22" s="237" t="s">
        <v>140</v>
      </c>
      <c r="AH22" s="233"/>
      <c r="AJ22" s="33" t="s">
        <v>19</v>
      </c>
      <c r="AK22" s="33" t="s">
        <v>68</v>
      </c>
      <c r="AL22" s="33" t="s">
        <v>141</v>
      </c>
      <c r="AM22" s="33" t="s">
        <v>69</v>
      </c>
      <c r="AN22" s="33" t="s">
        <v>142</v>
      </c>
      <c r="AO22" s="132"/>
      <c r="AP22" s="132"/>
      <c r="AQ22" s="237" t="s">
        <v>143</v>
      </c>
      <c r="AR22" s="238"/>
      <c r="AS22" s="33" t="s">
        <v>144</v>
      </c>
      <c r="AT22" s="240" t="s">
        <v>145</v>
      </c>
      <c r="AU22" s="233"/>
      <c r="AW22" s="240" t="s">
        <v>146</v>
      </c>
      <c r="AX22" s="233"/>
      <c r="AZ22" s="231" t="s">
        <v>147</v>
      </c>
      <c r="BA22" s="232"/>
      <c r="BB22" s="233"/>
      <c r="BF22" s="13"/>
      <c r="BG22" s="13"/>
      <c r="BH22" s="13"/>
      <c r="BI22" s="13"/>
      <c r="BJ22" s="13"/>
    </row>
    <row r="23" spans="1:64" ht="32.25" customHeight="1" thickBot="1">
      <c r="B23" s="33" t="s">
        <v>58</v>
      </c>
      <c r="C23" s="43">
        <v>46053</v>
      </c>
      <c r="R23" s="102"/>
      <c r="S23" s="102"/>
      <c r="T23" s="102"/>
      <c r="U23" s="102"/>
      <c r="V23" s="34">
        <v>0.20399999999999999</v>
      </c>
      <c r="W23" s="34">
        <v>1.0999999999999999E-2</v>
      </c>
      <c r="X23" s="34">
        <v>4.0000000000000001E-3</v>
      </c>
      <c r="Y23" s="34">
        <v>7.0000000000000001E-3</v>
      </c>
      <c r="Z23" s="34">
        <v>2.5000000000000001E-3</v>
      </c>
      <c r="AA23" s="34">
        <v>1.0500000000000001E-2</v>
      </c>
      <c r="AB23" s="35">
        <v>3.7499999999999999E-3</v>
      </c>
      <c r="AC23" s="165">
        <v>0.54354999999999998</v>
      </c>
      <c r="AD23" s="34">
        <v>1.7500000000000002E-2</v>
      </c>
      <c r="AE23" s="34">
        <v>6.2500000000000003E-3</v>
      </c>
      <c r="AF23" s="36">
        <v>0.01</v>
      </c>
      <c r="AG23" s="234"/>
      <c r="AH23" s="236"/>
      <c r="AJ23" s="137" t="s">
        <v>148</v>
      </c>
      <c r="AK23" s="133"/>
      <c r="AM23" s="133"/>
      <c r="AN23" s="133">
        <v>0.02</v>
      </c>
      <c r="AO23" s="133"/>
      <c r="AQ23" s="134" t="s">
        <v>149</v>
      </c>
      <c r="AR23" s="134">
        <v>1.125E-2</v>
      </c>
      <c r="AS23" s="133">
        <v>0.05</v>
      </c>
      <c r="AT23" s="234"/>
      <c r="AU23" s="236"/>
      <c r="AW23" s="234"/>
      <c r="AX23" s="236"/>
      <c r="AZ23" s="234"/>
      <c r="BA23" s="235"/>
      <c r="BB23" s="236"/>
      <c r="BF23" s="13"/>
      <c r="BG23" s="13"/>
      <c r="BH23" s="13"/>
      <c r="BI23" s="13"/>
      <c r="BJ23" s="13"/>
    </row>
    <row r="24" spans="1:64" s="39" customFormat="1" ht="150" customHeight="1">
      <c r="A24" s="38"/>
      <c r="B24" s="32" t="s">
        <v>65</v>
      </c>
      <c r="C24" s="32" t="s">
        <v>66</v>
      </c>
      <c r="D24" s="32" t="s">
        <v>67</v>
      </c>
      <c r="E24" s="32" t="s">
        <v>150</v>
      </c>
      <c r="F24" s="32" t="s">
        <v>151</v>
      </c>
      <c r="G24" s="32" t="s">
        <v>152</v>
      </c>
      <c r="H24" s="32" t="s">
        <v>153</v>
      </c>
      <c r="I24" s="32" t="s">
        <v>154</v>
      </c>
      <c r="J24" s="32" t="s">
        <v>155</v>
      </c>
      <c r="K24" s="32" t="s">
        <v>156</v>
      </c>
      <c r="L24" s="32"/>
      <c r="M24" s="32"/>
      <c r="N24" s="32" t="s">
        <v>10</v>
      </c>
      <c r="O24" s="32" t="s">
        <v>69</v>
      </c>
      <c r="P24" s="32" t="s">
        <v>157</v>
      </c>
      <c r="Q24" s="32" t="s">
        <v>158</v>
      </c>
      <c r="R24" s="32" t="s">
        <v>159</v>
      </c>
      <c r="S24" s="32" t="s">
        <v>160</v>
      </c>
      <c r="T24" s="32" t="s">
        <v>161</v>
      </c>
      <c r="U24" s="32" t="s">
        <v>162</v>
      </c>
      <c r="V24" s="37" t="s">
        <v>163</v>
      </c>
      <c r="W24" s="37" t="s">
        <v>163</v>
      </c>
      <c r="X24" s="37" t="s">
        <v>164</v>
      </c>
      <c r="Y24" s="37" t="s">
        <v>163</v>
      </c>
      <c r="Z24" s="37" t="s">
        <v>164</v>
      </c>
      <c r="AA24" s="37" t="s">
        <v>163</v>
      </c>
      <c r="AB24" s="37" t="s">
        <v>164</v>
      </c>
      <c r="AC24" s="37" t="s">
        <v>163</v>
      </c>
      <c r="AD24" s="37" t="s">
        <v>165</v>
      </c>
      <c r="AE24" s="37" t="s">
        <v>166</v>
      </c>
      <c r="AF24" s="37" t="s">
        <v>165</v>
      </c>
      <c r="AG24" s="37" t="s">
        <v>163</v>
      </c>
      <c r="AH24" s="37" t="s">
        <v>164</v>
      </c>
      <c r="AJ24" s="40"/>
      <c r="AK24" s="40"/>
      <c r="AL24" s="40"/>
      <c r="AM24" s="40"/>
      <c r="AN24" s="40" t="s">
        <v>165</v>
      </c>
      <c r="AO24" s="40" t="s">
        <v>167</v>
      </c>
      <c r="AP24" s="40" t="s">
        <v>168</v>
      </c>
      <c r="AQ24" s="40" t="s">
        <v>163</v>
      </c>
      <c r="AR24" s="40" t="s">
        <v>164</v>
      </c>
      <c r="AS24" s="40" t="s">
        <v>163</v>
      </c>
      <c r="AT24" s="40" t="s">
        <v>163</v>
      </c>
      <c r="AU24" s="40" t="s">
        <v>164</v>
      </c>
      <c r="AV24" s="41"/>
      <c r="AW24" s="40" t="s">
        <v>163</v>
      </c>
      <c r="AX24" s="40" t="s">
        <v>164</v>
      </c>
      <c r="AZ24" s="40" t="s">
        <v>169</v>
      </c>
      <c r="BA24" s="40" t="s">
        <v>170</v>
      </c>
      <c r="BB24" s="40" t="s">
        <v>171</v>
      </c>
      <c r="BE24" s="13"/>
      <c r="BF24" s="13"/>
      <c r="BG24" s="13"/>
      <c r="BH24" s="13"/>
      <c r="BI24" s="13"/>
      <c r="BJ24" s="13"/>
      <c r="BK24" s="1"/>
      <c r="BL24" s="1"/>
    </row>
    <row r="25" spans="1:64" ht="50.25" customHeight="1">
      <c r="A25" s="12"/>
      <c r="B25" s="153">
        <v>1</v>
      </c>
      <c r="C25" s="163" t="s">
        <v>172</v>
      </c>
      <c r="D25" s="163" t="s">
        <v>78</v>
      </c>
      <c r="E25" s="166">
        <v>25000</v>
      </c>
      <c r="F25" s="144">
        <f t="shared" ref="F25:F39" si="0">(E25-P25)-AX25-BB25</f>
        <v>19645.251414831051</v>
      </c>
      <c r="G25" s="143">
        <v>30</v>
      </c>
      <c r="H25" s="163">
        <v>2</v>
      </c>
      <c r="I25" s="163">
        <v>8</v>
      </c>
      <c r="J25" s="143">
        <f t="shared" ref="J25:J39" si="1">VLOOKUP(E25,$P$9:$S$19,1,TRUE)</f>
        <v>15487.72</v>
      </c>
      <c r="K25" s="143">
        <f t="shared" ref="K25:K39" si="2">E25-J25</f>
        <v>9512.2800000000007</v>
      </c>
      <c r="L25" s="145">
        <f t="shared" ref="L25:L39" si="3">VLOOKUP(E25,$P$9:$S$19,4)/100</f>
        <v>0.21359999999999998</v>
      </c>
      <c r="M25" s="144">
        <f t="shared" ref="M25:M39" si="4">K25*L25</f>
        <v>2031.8230080000001</v>
      </c>
      <c r="N25" s="143">
        <f t="shared" ref="N25:N39" si="5">VLOOKUP(E25,$P$9:$S$19,3,TRUE)</f>
        <v>1640.48</v>
      </c>
      <c r="O25" s="143">
        <f t="shared" ref="O25:O39" si="6">G25-H25-I25</f>
        <v>20</v>
      </c>
      <c r="P25" s="145">
        <f t="shared" ref="P25:P39" si="7">M25+N25</f>
        <v>3672.3030079999999</v>
      </c>
      <c r="Q25" s="145">
        <f t="shared" ref="Q25:Q39" si="8">P25/2</f>
        <v>1836.1515039999999</v>
      </c>
      <c r="R25" s="145">
        <f t="shared" ref="R25:R39" si="9">E25/$E$14</f>
        <v>833.33333333333337</v>
      </c>
      <c r="S25" s="145">
        <f t="shared" ref="S25:S39" si="10">((R25*$E$15)/4)/365</f>
        <v>6.8493150684931505</v>
      </c>
      <c r="T25" s="145">
        <f t="shared" ref="T25:T39" si="11">(R25*$E$16)/365</f>
        <v>34.246575342465754</v>
      </c>
      <c r="U25" s="145">
        <f t="shared" ref="U25:U39" si="12">R25+S25+T25</f>
        <v>874.42922374429236</v>
      </c>
      <c r="V25" s="145">
        <f t="shared" ref="V25:V39" si="13">($E$10*$O$25)*$V$23</f>
        <v>478.62479999999994</v>
      </c>
      <c r="W25" s="145">
        <f t="shared" ref="W25:W39" si="14">IF(U25&gt;$E$11,((U25-$E$11)*(O25)*($W$23)),0)</f>
        <v>114.94982922374429</v>
      </c>
      <c r="X25" s="145">
        <f t="shared" ref="X25:X39" si="15">IF(U25&gt;$E$11,((U25-$E$11)*(O25)*($X$23)),0)</f>
        <v>41.79993789954338</v>
      </c>
      <c r="Y25" s="145">
        <f t="shared" ref="Y25:Y39" si="16">(U25*$Y$23)*(O25)</f>
        <v>122.42009132420094</v>
      </c>
      <c r="Z25" s="145">
        <f t="shared" ref="Z25:Z39" si="17">U25*$Z$23*(O25)</f>
        <v>43.721461187214615</v>
      </c>
      <c r="AA25" s="145">
        <f t="shared" ref="AA25:AA39" si="18">(U25*$AA$23)*(O25)</f>
        <v>183.63013698630141</v>
      </c>
      <c r="AB25" s="145">
        <f t="shared" ref="AB25:AB39" si="19">ROUND((U25*$AB$23)*(O25),2)</f>
        <v>65.58</v>
      </c>
      <c r="AC25" s="145">
        <f t="shared" ref="AC25:AC39" si="20">ROUND(U25*$AC$23,2)</f>
        <v>475.3</v>
      </c>
      <c r="AD25" s="146">
        <f t="shared" ref="AD25:AD39" si="21">ROUND(U25*$AD$23*(O25),2)</f>
        <v>306.05</v>
      </c>
      <c r="AE25" s="145">
        <f t="shared" ref="AE25:AE39" si="22">ROUND(U25*$AE$23*(O25),2)</f>
        <v>109.3</v>
      </c>
      <c r="AF25" s="145">
        <f t="shared" ref="AF25:AF39" si="23">ROUND(U25*$AF$23*(O25),2)</f>
        <v>174.89</v>
      </c>
      <c r="AG25" s="145">
        <f t="shared" ref="AG25:AG39" si="24">SUMIF($V$24:$AF$24,$AG$24,V25:AF25)</f>
        <v>1374.9248575342465</v>
      </c>
      <c r="AH25" s="145">
        <f t="shared" ref="AH25:AH39" si="25">SUMIF($V$24:$AF$24,$AH$24,V25:AF25)</f>
        <v>151.10139908675799</v>
      </c>
      <c r="AJ25" s="167">
        <v>59</v>
      </c>
      <c r="AK25" s="168">
        <v>2</v>
      </c>
      <c r="AL25" s="168">
        <v>8</v>
      </c>
      <c r="AM25" s="147">
        <f t="shared" ref="AM25:AM39" si="26">AJ25-AK25-AL25</f>
        <v>49</v>
      </c>
      <c r="AN25" s="148">
        <f t="shared" ref="AN25:AN39" si="27">(U25*$AN$23)*AM25</f>
        <v>856.94063926940657</v>
      </c>
      <c r="AO25" s="149">
        <f t="shared" ref="AO25:AO39" si="28">IF(U25&lt;$E$9,AO293,U25/$E$10)</f>
        <v>7.4540041236407157</v>
      </c>
      <c r="AP25" s="150">
        <f t="shared" ref="AP25:AP39" si="29">VLOOKUP(AO25,$AP$8:$AY$16,6,TRUE)</f>
        <v>6.4219999999999999E-2</v>
      </c>
      <c r="AQ25" s="148">
        <f t="shared" ref="AQ25:AQ39" si="30">U25*AP25*(AM25)</f>
        <v>2751.6363926940644</v>
      </c>
      <c r="AR25" s="148">
        <f t="shared" ref="AR25:AR39" si="31">U25*$AR$23*(AM25)</f>
        <v>482.02910958904113</v>
      </c>
      <c r="AS25" s="148">
        <f t="shared" ref="AS25:AS39" si="32">U25*$AS$23*(AM25)</f>
        <v>2142.3515981735163</v>
      </c>
      <c r="AT25" s="148">
        <f t="shared" ref="AT25:AT39" si="33">SUMIF($AN$24:$AS$24,$AT$24,AN25:AS25)</f>
        <v>4893.9879908675812</v>
      </c>
      <c r="AU25" s="148">
        <f t="shared" ref="AU25:AU39" si="34">SUMIF($AN$24:$AS$24,$AU$24,AN25:AS25)</f>
        <v>482.02910958904113</v>
      </c>
      <c r="AW25" s="148">
        <f t="shared" ref="AW25:AW39" si="35">AG25+AT25</f>
        <v>6268.9128484018274</v>
      </c>
      <c r="AX25" s="148">
        <f t="shared" ref="AX25:AX39" si="36">AH25+AU25</f>
        <v>633.13050867579909</v>
      </c>
      <c r="AZ25" s="151">
        <v>1</v>
      </c>
      <c r="BA25" s="164">
        <f>Nómina!G29</f>
        <v>0.04</v>
      </c>
      <c r="BB25" s="148">
        <f t="shared" ref="BB25:BB39" si="37">U25*BA25*G25</f>
        <v>1049.3150684931509</v>
      </c>
      <c r="BE25" s="39"/>
      <c r="BF25" s="13"/>
      <c r="BG25" s="13"/>
      <c r="BH25" s="13"/>
      <c r="BI25" s="13"/>
      <c r="BJ25" s="13"/>
    </row>
    <row r="26" spans="1:64" ht="50.25" customHeight="1">
      <c r="B26" s="153">
        <f t="shared" ref="B26:B39" si="38">B25+1</f>
        <v>2</v>
      </c>
      <c r="C26" s="163" t="s">
        <v>172</v>
      </c>
      <c r="D26" s="163" t="s">
        <v>80</v>
      </c>
      <c r="E26" s="166">
        <v>25000</v>
      </c>
      <c r="F26" s="144">
        <f t="shared" si="0"/>
        <v>19907.580181954338</v>
      </c>
      <c r="G26" s="143">
        <v>30</v>
      </c>
      <c r="H26" s="163">
        <v>2</v>
      </c>
      <c r="I26" s="163">
        <v>8</v>
      </c>
      <c r="J26" s="143">
        <f t="shared" si="1"/>
        <v>15487.72</v>
      </c>
      <c r="K26" s="143">
        <f t="shared" si="2"/>
        <v>9512.2800000000007</v>
      </c>
      <c r="L26" s="145">
        <f t="shared" si="3"/>
        <v>0.21359999999999998</v>
      </c>
      <c r="M26" s="144">
        <f t="shared" si="4"/>
        <v>2031.8230080000001</v>
      </c>
      <c r="N26" s="143">
        <f t="shared" si="5"/>
        <v>1640.48</v>
      </c>
      <c r="O26" s="143">
        <f t="shared" si="6"/>
        <v>20</v>
      </c>
      <c r="P26" s="145">
        <f t="shared" si="7"/>
        <v>3672.3030079999999</v>
      </c>
      <c r="Q26" s="145">
        <f t="shared" si="8"/>
        <v>1836.1515039999999</v>
      </c>
      <c r="R26" s="145">
        <f t="shared" si="9"/>
        <v>833.33333333333337</v>
      </c>
      <c r="S26" s="145">
        <f t="shared" si="10"/>
        <v>6.8493150684931505</v>
      </c>
      <c r="T26" s="145">
        <f t="shared" si="11"/>
        <v>34.246575342465754</v>
      </c>
      <c r="U26" s="145">
        <f t="shared" si="12"/>
        <v>874.42922374429236</v>
      </c>
      <c r="V26" s="145">
        <f t="shared" si="13"/>
        <v>478.62479999999994</v>
      </c>
      <c r="W26" s="145">
        <f t="shared" si="14"/>
        <v>114.94982922374429</v>
      </c>
      <c r="X26" s="145">
        <f t="shared" si="15"/>
        <v>41.79993789954338</v>
      </c>
      <c r="Y26" s="145">
        <f t="shared" si="16"/>
        <v>122.42009132420094</v>
      </c>
      <c r="Z26" s="145">
        <f t="shared" si="17"/>
        <v>43.721461187214615</v>
      </c>
      <c r="AA26" s="145">
        <f t="shared" si="18"/>
        <v>183.63013698630141</v>
      </c>
      <c r="AB26" s="145">
        <f t="shared" si="19"/>
        <v>65.58</v>
      </c>
      <c r="AC26" s="145">
        <f t="shared" si="20"/>
        <v>475.3</v>
      </c>
      <c r="AD26" s="146">
        <f t="shared" si="21"/>
        <v>306.05</v>
      </c>
      <c r="AE26" s="145">
        <f t="shared" si="22"/>
        <v>109.3</v>
      </c>
      <c r="AF26" s="145">
        <f t="shared" si="23"/>
        <v>174.89</v>
      </c>
      <c r="AG26" s="145">
        <f t="shared" si="24"/>
        <v>1374.9248575342465</v>
      </c>
      <c r="AH26" s="145">
        <f t="shared" si="25"/>
        <v>151.10139908675799</v>
      </c>
      <c r="AJ26" s="167">
        <v>59</v>
      </c>
      <c r="AK26" s="168">
        <v>2</v>
      </c>
      <c r="AL26" s="168">
        <v>8</v>
      </c>
      <c r="AM26" s="147">
        <f t="shared" si="26"/>
        <v>49</v>
      </c>
      <c r="AN26" s="148">
        <f t="shared" si="27"/>
        <v>856.94063926940657</v>
      </c>
      <c r="AO26" s="149">
        <f t="shared" si="28"/>
        <v>7.4540041236407157</v>
      </c>
      <c r="AP26" s="150">
        <f t="shared" si="29"/>
        <v>6.4219999999999999E-2</v>
      </c>
      <c r="AQ26" s="148">
        <f t="shared" si="30"/>
        <v>2751.6363926940644</v>
      </c>
      <c r="AR26" s="148">
        <f t="shared" si="31"/>
        <v>482.02910958904113</v>
      </c>
      <c r="AS26" s="148">
        <f t="shared" si="32"/>
        <v>2142.3515981735163</v>
      </c>
      <c r="AT26" s="148">
        <f t="shared" si="33"/>
        <v>4893.9879908675812</v>
      </c>
      <c r="AU26" s="148">
        <f t="shared" si="34"/>
        <v>482.02910958904113</v>
      </c>
      <c r="AW26" s="148">
        <f t="shared" si="35"/>
        <v>6268.9128484018274</v>
      </c>
      <c r="AX26" s="148">
        <f t="shared" si="36"/>
        <v>633.13050867579909</v>
      </c>
      <c r="AZ26" s="151">
        <v>2</v>
      </c>
      <c r="BA26" s="164">
        <v>0.03</v>
      </c>
      <c r="BB26" s="148">
        <f t="shared" si="37"/>
        <v>786.9863013698631</v>
      </c>
      <c r="BF26" s="13"/>
      <c r="BG26" s="13"/>
      <c r="BH26" s="13"/>
      <c r="BI26" s="13"/>
      <c r="BJ26" s="13"/>
    </row>
    <row r="27" spans="1:64" ht="50.25" customHeight="1">
      <c r="B27" s="153">
        <f t="shared" si="38"/>
        <v>3</v>
      </c>
      <c r="C27" s="163" t="s">
        <v>172</v>
      </c>
      <c r="D27" s="163" t="s">
        <v>80</v>
      </c>
      <c r="E27" s="166">
        <v>25000</v>
      </c>
      <c r="F27" s="144">
        <f t="shared" si="0"/>
        <v>19907.580181954338</v>
      </c>
      <c r="G27" s="143">
        <v>30</v>
      </c>
      <c r="H27" s="163">
        <v>2</v>
      </c>
      <c r="I27" s="163">
        <v>8</v>
      </c>
      <c r="J27" s="143">
        <f t="shared" si="1"/>
        <v>15487.72</v>
      </c>
      <c r="K27" s="143">
        <f t="shared" si="2"/>
        <v>9512.2800000000007</v>
      </c>
      <c r="L27" s="145">
        <f t="shared" si="3"/>
        <v>0.21359999999999998</v>
      </c>
      <c r="M27" s="144">
        <f t="shared" si="4"/>
        <v>2031.8230080000001</v>
      </c>
      <c r="N27" s="143">
        <f t="shared" si="5"/>
        <v>1640.48</v>
      </c>
      <c r="O27" s="143">
        <f t="shared" si="6"/>
        <v>20</v>
      </c>
      <c r="P27" s="145">
        <f t="shared" si="7"/>
        <v>3672.3030079999999</v>
      </c>
      <c r="Q27" s="145">
        <f t="shared" si="8"/>
        <v>1836.1515039999999</v>
      </c>
      <c r="R27" s="145">
        <f t="shared" si="9"/>
        <v>833.33333333333337</v>
      </c>
      <c r="S27" s="145">
        <f t="shared" si="10"/>
        <v>6.8493150684931505</v>
      </c>
      <c r="T27" s="145">
        <f t="shared" si="11"/>
        <v>34.246575342465754</v>
      </c>
      <c r="U27" s="145">
        <f t="shared" si="12"/>
        <v>874.42922374429236</v>
      </c>
      <c r="V27" s="145">
        <f t="shared" si="13"/>
        <v>478.62479999999994</v>
      </c>
      <c r="W27" s="145">
        <f t="shared" si="14"/>
        <v>114.94982922374429</v>
      </c>
      <c r="X27" s="145">
        <f t="shared" si="15"/>
        <v>41.79993789954338</v>
      </c>
      <c r="Y27" s="145">
        <f t="shared" si="16"/>
        <v>122.42009132420094</v>
      </c>
      <c r="Z27" s="145">
        <f t="shared" si="17"/>
        <v>43.721461187214615</v>
      </c>
      <c r="AA27" s="145">
        <f t="shared" si="18"/>
        <v>183.63013698630141</v>
      </c>
      <c r="AB27" s="145">
        <f t="shared" si="19"/>
        <v>65.58</v>
      </c>
      <c r="AC27" s="145">
        <f t="shared" si="20"/>
        <v>475.3</v>
      </c>
      <c r="AD27" s="146">
        <f t="shared" si="21"/>
        <v>306.05</v>
      </c>
      <c r="AE27" s="145">
        <f t="shared" si="22"/>
        <v>109.3</v>
      </c>
      <c r="AF27" s="145">
        <f t="shared" si="23"/>
        <v>174.89</v>
      </c>
      <c r="AG27" s="145">
        <f t="shared" si="24"/>
        <v>1374.9248575342465</v>
      </c>
      <c r="AH27" s="145">
        <f t="shared" si="25"/>
        <v>151.10139908675799</v>
      </c>
      <c r="AJ27" s="167">
        <v>59</v>
      </c>
      <c r="AK27" s="168">
        <v>2</v>
      </c>
      <c r="AL27" s="168">
        <v>8</v>
      </c>
      <c r="AM27" s="147">
        <f t="shared" si="26"/>
        <v>49</v>
      </c>
      <c r="AN27" s="148">
        <f t="shared" si="27"/>
        <v>856.94063926940657</v>
      </c>
      <c r="AO27" s="149">
        <f t="shared" si="28"/>
        <v>7.4540041236407157</v>
      </c>
      <c r="AP27" s="150">
        <f t="shared" si="29"/>
        <v>6.4219999999999999E-2</v>
      </c>
      <c r="AQ27" s="148">
        <f t="shared" si="30"/>
        <v>2751.6363926940644</v>
      </c>
      <c r="AR27" s="148">
        <f t="shared" si="31"/>
        <v>482.02910958904113</v>
      </c>
      <c r="AS27" s="148">
        <f t="shared" si="32"/>
        <v>2142.3515981735163</v>
      </c>
      <c r="AT27" s="148">
        <f t="shared" si="33"/>
        <v>4893.9879908675812</v>
      </c>
      <c r="AU27" s="148">
        <f t="shared" si="34"/>
        <v>482.02910958904113</v>
      </c>
      <c r="AW27" s="148">
        <f t="shared" si="35"/>
        <v>6268.9128484018274</v>
      </c>
      <c r="AX27" s="148">
        <f t="shared" si="36"/>
        <v>633.13050867579909</v>
      </c>
      <c r="AZ27" s="151">
        <v>3</v>
      </c>
      <c r="BA27" s="164">
        <v>0.03</v>
      </c>
      <c r="BB27" s="148">
        <f t="shared" si="37"/>
        <v>786.9863013698631</v>
      </c>
      <c r="BF27" s="13"/>
      <c r="BG27" s="13"/>
      <c r="BH27" s="13"/>
      <c r="BI27" s="13"/>
      <c r="BJ27" s="13"/>
    </row>
    <row r="28" spans="1:64" ht="50.25" customHeight="1">
      <c r="B28" s="153">
        <f t="shared" si="38"/>
        <v>4</v>
      </c>
      <c r="C28" s="163" t="s">
        <v>172</v>
      </c>
      <c r="D28" s="163" t="s">
        <v>80</v>
      </c>
      <c r="E28" s="166">
        <v>25000</v>
      </c>
      <c r="F28" s="144">
        <f t="shared" si="0"/>
        <v>19907.580181954338</v>
      </c>
      <c r="G28" s="143">
        <v>30</v>
      </c>
      <c r="H28" s="163">
        <v>2</v>
      </c>
      <c r="I28" s="163">
        <v>8</v>
      </c>
      <c r="J28" s="143">
        <f t="shared" si="1"/>
        <v>15487.72</v>
      </c>
      <c r="K28" s="143">
        <f t="shared" si="2"/>
        <v>9512.2800000000007</v>
      </c>
      <c r="L28" s="145">
        <f t="shared" si="3"/>
        <v>0.21359999999999998</v>
      </c>
      <c r="M28" s="144">
        <f t="shared" si="4"/>
        <v>2031.8230080000001</v>
      </c>
      <c r="N28" s="143">
        <f t="shared" si="5"/>
        <v>1640.48</v>
      </c>
      <c r="O28" s="143">
        <f t="shared" si="6"/>
        <v>20</v>
      </c>
      <c r="P28" s="145">
        <f t="shared" si="7"/>
        <v>3672.3030079999999</v>
      </c>
      <c r="Q28" s="145">
        <f t="shared" si="8"/>
        <v>1836.1515039999999</v>
      </c>
      <c r="R28" s="145">
        <f t="shared" si="9"/>
        <v>833.33333333333337</v>
      </c>
      <c r="S28" s="145">
        <f t="shared" si="10"/>
        <v>6.8493150684931505</v>
      </c>
      <c r="T28" s="145">
        <f t="shared" si="11"/>
        <v>34.246575342465754</v>
      </c>
      <c r="U28" s="145">
        <f t="shared" si="12"/>
        <v>874.42922374429236</v>
      </c>
      <c r="V28" s="145">
        <f t="shared" si="13"/>
        <v>478.62479999999994</v>
      </c>
      <c r="W28" s="145">
        <f t="shared" si="14"/>
        <v>114.94982922374429</v>
      </c>
      <c r="X28" s="145">
        <f t="shared" si="15"/>
        <v>41.79993789954338</v>
      </c>
      <c r="Y28" s="145">
        <f t="shared" si="16"/>
        <v>122.42009132420094</v>
      </c>
      <c r="Z28" s="145">
        <f t="shared" si="17"/>
        <v>43.721461187214615</v>
      </c>
      <c r="AA28" s="145">
        <f t="shared" si="18"/>
        <v>183.63013698630141</v>
      </c>
      <c r="AB28" s="145">
        <f t="shared" si="19"/>
        <v>65.58</v>
      </c>
      <c r="AC28" s="145">
        <f t="shared" si="20"/>
        <v>475.3</v>
      </c>
      <c r="AD28" s="146">
        <f t="shared" si="21"/>
        <v>306.05</v>
      </c>
      <c r="AE28" s="145">
        <f t="shared" si="22"/>
        <v>109.3</v>
      </c>
      <c r="AF28" s="145">
        <f t="shared" si="23"/>
        <v>174.89</v>
      </c>
      <c r="AG28" s="145">
        <f t="shared" si="24"/>
        <v>1374.9248575342465</v>
      </c>
      <c r="AH28" s="145">
        <f t="shared" si="25"/>
        <v>151.10139908675799</v>
      </c>
      <c r="AJ28" s="167">
        <v>59</v>
      </c>
      <c r="AK28" s="168">
        <v>2</v>
      </c>
      <c r="AL28" s="168">
        <v>8</v>
      </c>
      <c r="AM28" s="147">
        <f t="shared" si="26"/>
        <v>49</v>
      </c>
      <c r="AN28" s="148">
        <f t="shared" si="27"/>
        <v>856.94063926940657</v>
      </c>
      <c r="AO28" s="149">
        <f t="shared" si="28"/>
        <v>7.4540041236407157</v>
      </c>
      <c r="AP28" s="150">
        <f t="shared" si="29"/>
        <v>6.4219999999999999E-2</v>
      </c>
      <c r="AQ28" s="148">
        <f t="shared" si="30"/>
        <v>2751.6363926940644</v>
      </c>
      <c r="AR28" s="148">
        <f t="shared" si="31"/>
        <v>482.02910958904113</v>
      </c>
      <c r="AS28" s="148">
        <f t="shared" si="32"/>
        <v>2142.3515981735163</v>
      </c>
      <c r="AT28" s="148">
        <f t="shared" si="33"/>
        <v>4893.9879908675812</v>
      </c>
      <c r="AU28" s="148">
        <f t="shared" si="34"/>
        <v>482.02910958904113</v>
      </c>
      <c r="AW28" s="148">
        <f t="shared" si="35"/>
        <v>6268.9128484018274</v>
      </c>
      <c r="AX28" s="148">
        <f t="shared" si="36"/>
        <v>633.13050867579909</v>
      </c>
      <c r="AZ28" s="151">
        <v>4</v>
      </c>
      <c r="BA28" s="164">
        <v>0.03</v>
      </c>
      <c r="BB28" s="148">
        <f t="shared" si="37"/>
        <v>786.9863013698631</v>
      </c>
      <c r="BF28" s="13"/>
      <c r="BG28" s="13"/>
      <c r="BH28" s="13"/>
      <c r="BI28" s="13"/>
      <c r="BJ28" s="13"/>
    </row>
    <row r="29" spans="1:64" ht="50.25" customHeight="1">
      <c r="B29" s="153">
        <f t="shared" si="38"/>
        <v>5</v>
      </c>
      <c r="C29" s="163" t="s">
        <v>172</v>
      </c>
      <c r="D29" s="163" t="s">
        <v>80</v>
      </c>
      <c r="E29" s="166">
        <v>25000</v>
      </c>
      <c r="F29" s="144">
        <f t="shared" si="0"/>
        <v>19907.580181954338</v>
      </c>
      <c r="G29" s="143">
        <v>30</v>
      </c>
      <c r="H29" s="163">
        <v>2</v>
      </c>
      <c r="I29" s="163">
        <v>8</v>
      </c>
      <c r="J29" s="143">
        <f t="shared" si="1"/>
        <v>15487.72</v>
      </c>
      <c r="K29" s="143">
        <f t="shared" si="2"/>
        <v>9512.2800000000007</v>
      </c>
      <c r="L29" s="145">
        <f t="shared" si="3"/>
        <v>0.21359999999999998</v>
      </c>
      <c r="M29" s="144">
        <f t="shared" si="4"/>
        <v>2031.8230080000001</v>
      </c>
      <c r="N29" s="143">
        <f t="shared" si="5"/>
        <v>1640.48</v>
      </c>
      <c r="O29" s="143">
        <f t="shared" si="6"/>
        <v>20</v>
      </c>
      <c r="P29" s="145">
        <f t="shared" si="7"/>
        <v>3672.3030079999999</v>
      </c>
      <c r="Q29" s="145">
        <f t="shared" si="8"/>
        <v>1836.1515039999999</v>
      </c>
      <c r="R29" s="145">
        <f t="shared" si="9"/>
        <v>833.33333333333337</v>
      </c>
      <c r="S29" s="145">
        <f t="shared" si="10"/>
        <v>6.8493150684931505</v>
      </c>
      <c r="T29" s="145">
        <f t="shared" si="11"/>
        <v>34.246575342465754</v>
      </c>
      <c r="U29" s="145">
        <f t="shared" si="12"/>
        <v>874.42922374429236</v>
      </c>
      <c r="V29" s="145">
        <f t="shared" si="13"/>
        <v>478.62479999999994</v>
      </c>
      <c r="W29" s="145">
        <f t="shared" si="14"/>
        <v>114.94982922374429</v>
      </c>
      <c r="X29" s="145">
        <f t="shared" si="15"/>
        <v>41.79993789954338</v>
      </c>
      <c r="Y29" s="145">
        <f t="shared" si="16"/>
        <v>122.42009132420094</v>
      </c>
      <c r="Z29" s="145">
        <f t="shared" si="17"/>
        <v>43.721461187214615</v>
      </c>
      <c r="AA29" s="145">
        <f t="shared" si="18"/>
        <v>183.63013698630141</v>
      </c>
      <c r="AB29" s="145">
        <f t="shared" si="19"/>
        <v>65.58</v>
      </c>
      <c r="AC29" s="145">
        <f t="shared" si="20"/>
        <v>475.3</v>
      </c>
      <c r="AD29" s="146">
        <f t="shared" si="21"/>
        <v>306.05</v>
      </c>
      <c r="AE29" s="145">
        <f t="shared" si="22"/>
        <v>109.3</v>
      </c>
      <c r="AF29" s="145">
        <f t="shared" si="23"/>
        <v>174.89</v>
      </c>
      <c r="AG29" s="145">
        <f t="shared" si="24"/>
        <v>1374.9248575342465</v>
      </c>
      <c r="AH29" s="145">
        <f t="shared" si="25"/>
        <v>151.10139908675799</v>
      </c>
      <c r="AJ29" s="167">
        <v>59</v>
      </c>
      <c r="AK29" s="168">
        <v>2</v>
      </c>
      <c r="AL29" s="168">
        <v>8</v>
      </c>
      <c r="AM29" s="147">
        <f t="shared" si="26"/>
        <v>49</v>
      </c>
      <c r="AN29" s="148">
        <f t="shared" si="27"/>
        <v>856.94063926940657</v>
      </c>
      <c r="AO29" s="149">
        <f t="shared" si="28"/>
        <v>7.4540041236407157</v>
      </c>
      <c r="AP29" s="150">
        <f t="shared" si="29"/>
        <v>6.4219999999999999E-2</v>
      </c>
      <c r="AQ29" s="148">
        <f t="shared" si="30"/>
        <v>2751.6363926940644</v>
      </c>
      <c r="AR29" s="148">
        <f t="shared" si="31"/>
        <v>482.02910958904113</v>
      </c>
      <c r="AS29" s="148">
        <f t="shared" si="32"/>
        <v>2142.3515981735163</v>
      </c>
      <c r="AT29" s="148">
        <f t="shared" si="33"/>
        <v>4893.9879908675812</v>
      </c>
      <c r="AU29" s="148">
        <f t="shared" si="34"/>
        <v>482.02910958904113</v>
      </c>
      <c r="AW29" s="148">
        <f t="shared" si="35"/>
        <v>6268.9128484018274</v>
      </c>
      <c r="AX29" s="148">
        <f t="shared" si="36"/>
        <v>633.13050867579909</v>
      </c>
      <c r="AZ29" s="151">
        <v>5</v>
      </c>
      <c r="BA29" s="164">
        <v>0.03</v>
      </c>
      <c r="BB29" s="148">
        <f t="shared" si="37"/>
        <v>786.9863013698631</v>
      </c>
      <c r="BF29" s="13"/>
      <c r="BG29" s="13"/>
      <c r="BH29" s="13"/>
      <c r="BI29" s="13"/>
      <c r="BJ29" s="13"/>
    </row>
    <row r="30" spans="1:64" ht="50.25" customHeight="1">
      <c r="B30" s="153">
        <f t="shared" si="38"/>
        <v>6</v>
      </c>
      <c r="C30" s="163" t="s">
        <v>172</v>
      </c>
      <c r="D30" s="163" t="s">
        <v>80</v>
      </c>
      <c r="E30" s="166">
        <v>25000</v>
      </c>
      <c r="F30" s="144">
        <f t="shared" si="0"/>
        <v>19907.580181954338</v>
      </c>
      <c r="G30" s="143">
        <v>30</v>
      </c>
      <c r="H30" s="163">
        <v>2</v>
      </c>
      <c r="I30" s="163">
        <v>8</v>
      </c>
      <c r="J30" s="143">
        <f t="shared" si="1"/>
        <v>15487.72</v>
      </c>
      <c r="K30" s="143">
        <f t="shared" si="2"/>
        <v>9512.2800000000007</v>
      </c>
      <c r="L30" s="145">
        <f t="shared" si="3"/>
        <v>0.21359999999999998</v>
      </c>
      <c r="M30" s="144">
        <f t="shared" si="4"/>
        <v>2031.8230080000001</v>
      </c>
      <c r="N30" s="143">
        <f t="shared" si="5"/>
        <v>1640.48</v>
      </c>
      <c r="O30" s="143">
        <f t="shared" si="6"/>
        <v>20</v>
      </c>
      <c r="P30" s="145">
        <f t="shared" si="7"/>
        <v>3672.3030079999999</v>
      </c>
      <c r="Q30" s="145">
        <f t="shared" si="8"/>
        <v>1836.1515039999999</v>
      </c>
      <c r="R30" s="145">
        <f t="shared" si="9"/>
        <v>833.33333333333337</v>
      </c>
      <c r="S30" s="145">
        <f t="shared" si="10"/>
        <v>6.8493150684931505</v>
      </c>
      <c r="T30" s="145">
        <f t="shared" si="11"/>
        <v>34.246575342465754</v>
      </c>
      <c r="U30" s="145">
        <f t="shared" si="12"/>
        <v>874.42922374429236</v>
      </c>
      <c r="V30" s="145">
        <f t="shared" si="13"/>
        <v>478.62479999999994</v>
      </c>
      <c r="W30" s="145">
        <f t="shared" si="14"/>
        <v>114.94982922374429</v>
      </c>
      <c r="X30" s="145">
        <f t="shared" si="15"/>
        <v>41.79993789954338</v>
      </c>
      <c r="Y30" s="145">
        <f t="shared" si="16"/>
        <v>122.42009132420094</v>
      </c>
      <c r="Z30" s="145">
        <f t="shared" si="17"/>
        <v>43.721461187214615</v>
      </c>
      <c r="AA30" s="145">
        <f t="shared" si="18"/>
        <v>183.63013698630141</v>
      </c>
      <c r="AB30" s="145">
        <f t="shared" si="19"/>
        <v>65.58</v>
      </c>
      <c r="AC30" s="145">
        <f t="shared" si="20"/>
        <v>475.3</v>
      </c>
      <c r="AD30" s="146">
        <f t="shared" si="21"/>
        <v>306.05</v>
      </c>
      <c r="AE30" s="145">
        <f t="shared" si="22"/>
        <v>109.3</v>
      </c>
      <c r="AF30" s="145">
        <f t="shared" si="23"/>
        <v>174.89</v>
      </c>
      <c r="AG30" s="145">
        <f t="shared" si="24"/>
        <v>1374.9248575342465</v>
      </c>
      <c r="AH30" s="145">
        <f t="shared" si="25"/>
        <v>151.10139908675799</v>
      </c>
      <c r="AJ30" s="167">
        <v>59</v>
      </c>
      <c r="AK30" s="168">
        <v>2</v>
      </c>
      <c r="AL30" s="168">
        <v>8</v>
      </c>
      <c r="AM30" s="147">
        <f t="shared" si="26"/>
        <v>49</v>
      </c>
      <c r="AN30" s="148">
        <f t="shared" si="27"/>
        <v>856.94063926940657</v>
      </c>
      <c r="AO30" s="149">
        <f t="shared" si="28"/>
        <v>7.4540041236407157</v>
      </c>
      <c r="AP30" s="150">
        <f t="shared" si="29"/>
        <v>6.4219999999999999E-2</v>
      </c>
      <c r="AQ30" s="148">
        <f t="shared" si="30"/>
        <v>2751.6363926940644</v>
      </c>
      <c r="AR30" s="148">
        <f t="shared" si="31"/>
        <v>482.02910958904113</v>
      </c>
      <c r="AS30" s="148">
        <f t="shared" si="32"/>
        <v>2142.3515981735163</v>
      </c>
      <c r="AT30" s="148">
        <f t="shared" si="33"/>
        <v>4893.9879908675812</v>
      </c>
      <c r="AU30" s="148">
        <f t="shared" si="34"/>
        <v>482.02910958904113</v>
      </c>
      <c r="AW30" s="148">
        <f t="shared" si="35"/>
        <v>6268.9128484018274</v>
      </c>
      <c r="AX30" s="148">
        <f t="shared" si="36"/>
        <v>633.13050867579909</v>
      </c>
      <c r="AZ30" s="151">
        <v>6</v>
      </c>
      <c r="BA30" s="164">
        <v>0.03</v>
      </c>
      <c r="BB30" s="148">
        <f t="shared" si="37"/>
        <v>786.9863013698631</v>
      </c>
      <c r="BF30" s="13"/>
      <c r="BG30" s="13"/>
      <c r="BH30" s="13"/>
      <c r="BI30" s="13"/>
      <c r="BJ30" s="13"/>
    </row>
    <row r="31" spans="1:64" ht="50.25" customHeight="1">
      <c r="B31" s="153">
        <f t="shared" si="38"/>
        <v>7</v>
      </c>
      <c r="C31" s="163" t="s">
        <v>172</v>
      </c>
      <c r="D31" s="163" t="s">
        <v>80</v>
      </c>
      <c r="E31" s="166">
        <v>25000</v>
      </c>
      <c r="F31" s="144">
        <f t="shared" si="0"/>
        <v>19907.580181954338</v>
      </c>
      <c r="G31" s="143">
        <v>30</v>
      </c>
      <c r="H31" s="163">
        <v>2</v>
      </c>
      <c r="I31" s="163">
        <v>8</v>
      </c>
      <c r="J31" s="143">
        <f t="shared" si="1"/>
        <v>15487.72</v>
      </c>
      <c r="K31" s="143">
        <f t="shared" si="2"/>
        <v>9512.2800000000007</v>
      </c>
      <c r="L31" s="145">
        <f t="shared" si="3"/>
        <v>0.21359999999999998</v>
      </c>
      <c r="M31" s="144">
        <f t="shared" si="4"/>
        <v>2031.8230080000001</v>
      </c>
      <c r="N31" s="143">
        <f t="shared" si="5"/>
        <v>1640.48</v>
      </c>
      <c r="O31" s="143">
        <f t="shared" si="6"/>
        <v>20</v>
      </c>
      <c r="P31" s="145">
        <f t="shared" si="7"/>
        <v>3672.3030079999999</v>
      </c>
      <c r="Q31" s="145">
        <f t="shared" si="8"/>
        <v>1836.1515039999999</v>
      </c>
      <c r="R31" s="145">
        <f t="shared" si="9"/>
        <v>833.33333333333337</v>
      </c>
      <c r="S31" s="145">
        <f t="shared" si="10"/>
        <v>6.8493150684931505</v>
      </c>
      <c r="T31" s="145">
        <f t="shared" si="11"/>
        <v>34.246575342465754</v>
      </c>
      <c r="U31" s="145">
        <f t="shared" si="12"/>
        <v>874.42922374429236</v>
      </c>
      <c r="V31" s="145">
        <f t="shared" si="13"/>
        <v>478.62479999999994</v>
      </c>
      <c r="W31" s="145">
        <f t="shared" si="14"/>
        <v>114.94982922374429</v>
      </c>
      <c r="X31" s="145">
        <f t="shared" si="15"/>
        <v>41.79993789954338</v>
      </c>
      <c r="Y31" s="145">
        <f t="shared" si="16"/>
        <v>122.42009132420094</v>
      </c>
      <c r="Z31" s="145">
        <f t="shared" si="17"/>
        <v>43.721461187214615</v>
      </c>
      <c r="AA31" s="145">
        <f t="shared" si="18"/>
        <v>183.63013698630141</v>
      </c>
      <c r="AB31" s="145">
        <f t="shared" si="19"/>
        <v>65.58</v>
      </c>
      <c r="AC31" s="145">
        <f t="shared" si="20"/>
        <v>475.3</v>
      </c>
      <c r="AD31" s="146">
        <f t="shared" si="21"/>
        <v>306.05</v>
      </c>
      <c r="AE31" s="145">
        <f t="shared" si="22"/>
        <v>109.3</v>
      </c>
      <c r="AF31" s="145">
        <f t="shared" si="23"/>
        <v>174.89</v>
      </c>
      <c r="AG31" s="145">
        <f t="shared" si="24"/>
        <v>1374.9248575342465</v>
      </c>
      <c r="AH31" s="145">
        <f t="shared" si="25"/>
        <v>151.10139908675799</v>
      </c>
      <c r="AJ31" s="167">
        <v>59</v>
      </c>
      <c r="AK31" s="168">
        <v>2</v>
      </c>
      <c r="AL31" s="168">
        <v>8</v>
      </c>
      <c r="AM31" s="147">
        <f t="shared" si="26"/>
        <v>49</v>
      </c>
      <c r="AN31" s="148">
        <f t="shared" si="27"/>
        <v>856.94063926940657</v>
      </c>
      <c r="AO31" s="149">
        <f t="shared" si="28"/>
        <v>7.4540041236407157</v>
      </c>
      <c r="AP31" s="150">
        <f t="shared" si="29"/>
        <v>6.4219999999999999E-2</v>
      </c>
      <c r="AQ31" s="148">
        <f t="shared" si="30"/>
        <v>2751.6363926940644</v>
      </c>
      <c r="AR31" s="148">
        <f t="shared" si="31"/>
        <v>482.02910958904113</v>
      </c>
      <c r="AS31" s="148">
        <f t="shared" si="32"/>
        <v>2142.3515981735163</v>
      </c>
      <c r="AT31" s="148">
        <f t="shared" si="33"/>
        <v>4893.9879908675812</v>
      </c>
      <c r="AU31" s="148">
        <f t="shared" si="34"/>
        <v>482.02910958904113</v>
      </c>
      <c r="AW31" s="148">
        <f t="shared" si="35"/>
        <v>6268.9128484018274</v>
      </c>
      <c r="AX31" s="148">
        <f t="shared" si="36"/>
        <v>633.13050867579909</v>
      </c>
      <c r="AZ31" s="151">
        <v>7</v>
      </c>
      <c r="BA31" s="164">
        <v>0.03</v>
      </c>
      <c r="BB31" s="148">
        <f t="shared" si="37"/>
        <v>786.9863013698631</v>
      </c>
      <c r="BF31" s="13"/>
      <c r="BG31" s="13"/>
      <c r="BH31" s="13"/>
      <c r="BI31" s="13"/>
      <c r="BJ31" s="13"/>
    </row>
    <row r="32" spans="1:64" ht="50.25" customHeight="1">
      <c r="B32" s="153">
        <f t="shared" si="38"/>
        <v>8</v>
      </c>
      <c r="C32" s="163" t="s">
        <v>172</v>
      </c>
      <c r="D32" s="163" t="s">
        <v>80</v>
      </c>
      <c r="E32" s="166">
        <v>25000</v>
      </c>
      <c r="F32" s="144">
        <f t="shared" si="0"/>
        <v>20694.566483324201</v>
      </c>
      <c r="G32" s="143">
        <v>30</v>
      </c>
      <c r="H32" s="163">
        <v>2</v>
      </c>
      <c r="I32" s="163">
        <v>8</v>
      </c>
      <c r="J32" s="143">
        <f t="shared" si="1"/>
        <v>15487.72</v>
      </c>
      <c r="K32" s="143">
        <f t="shared" si="2"/>
        <v>9512.2800000000007</v>
      </c>
      <c r="L32" s="145">
        <f t="shared" si="3"/>
        <v>0.21359999999999998</v>
      </c>
      <c r="M32" s="144">
        <f t="shared" si="4"/>
        <v>2031.8230080000001</v>
      </c>
      <c r="N32" s="143">
        <f t="shared" si="5"/>
        <v>1640.48</v>
      </c>
      <c r="O32" s="143">
        <f t="shared" si="6"/>
        <v>20</v>
      </c>
      <c r="P32" s="145">
        <f t="shared" si="7"/>
        <v>3672.3030079999999</v>
      </c>
      <c r="Q32" s="145">
        <f t="shared" si="8"/>
        <v>1836.1515039999999</v>
      </c>
      <c r="R32" s="145">
        <f t="shared" si="9"/>
        <v>833.33333333333337</v>
      </c>
      <c r="S32" s="145">
        <f t="shared" si="10"/>
        <v>6.8493150684931505</v>
      </c>
      <c r="T32" s="145">
        <f t="shared" si="11"/>
        <v>34.246575342465754</v>
      </c>
      <c r="U32" s="145">
        <f t="shared" si="12"/>
        <v>874.42922374429236</v>
      </c>
      <c r="V32" s="145">
        <f t="shared" si="13"/>
        <v>478.62479999999994</v>
      </c>
      <c r="W32" s="145">
        <f t="shared" si="14"/>
        <v>114.94982922374429</v>
      </c>
      <c r="X32" s="145">
        <f t="shared" si="15"/>
        <v>41.79993789954338</v>
      </c>
      <c r="Y32" s="145">
        <f t="shared" si="16"/>
        <v>122.42009132420094</v>
      </c>
      <c r="Z32" s="145">
        <f t="shared" si="17"/>
        <v>43.721461187214615</v>
      </c>
      <c r="AA32" s="145">
        <f t="shared" si="18"/>
        <v>183.63013698630141</v>
      </c>
      <c r="AB32" s="145">
        <f t="shared" si="19"/>
        <v>65.58</v>
      </c>
      <c r="AC32" s="145">
        <f t="shared" si="20"/>
        <v>475.3</v>
      </c>
      <c r="AD32" s="146">
        <f t="shared" si="21"/>
        <v>306.05</v>
      </c>
      <c r="AE32" s="145">
        <f t="shared" si="22"/>
        <v>109.3</v>
      </c>
      <c r="AF32" s="145">
        <f t="shared" si="23"/>
        <v>174.89</v>
      </c>
      <c r="AG32" s="145">
        <f t="shared" si="24"/>
        <v>1374.9248575342465</v>
      </c>
      <c r="AH32" s="145">
        <f t="shared" si="25"/>
        <v>151.10139908675799</v>
      </c>
      <c r="AJ32" s="167">
        <v>59</v>
      </c>
      <c r="AK32" s="168">
        <v>2</v>
      </c>
      <c r="AL32" s="168">
        <v>8</v>
      </c>
      <c r="AM32" s="147">
        <f t="shared" si="26"/>
        <v>49</v>
      </c>
      <c r="AN32" s="148">
        <f t="shared" si="27"/>
        <v>856.94063926940657</v>
      </c>
      <c r="AO32" s="149">
        <f t="shared" si="28"/>
        <v>7.4540041236407157</v>
      </c>
      <c r="AP32" s="150">
        <f t="shared" si="29"/>
        <v>6.4219999999999999E-2</v>
      </c>
      <c r="AQ32" s="148">
        <f t="shared" si="30"/>
        <v>2751.6363926940644</v>
      </c>
      <c r="AR32" s="148">
        <f t="shared" si="31"/>
        <v>482.02910958904113</v>
      </c>
      <c r="AS32" s="148">
        <f t="shared" si="32"/>
        <v>2142.3515981735163</v>
      </c>
      <c r="AT32" s="148">
        <f t="shared" si="33"/>
        <v>4893.9879908675812</v>
      </c>
      <c r="AU32" s="148">
        <f t="shared" si="34"/>
        <v>482.02910958904113</v>
      </c>
      <c r="AW32" s="148">
        <f t="shared" si="35"/>
        <v>6268.9128484018274</v>
      </c>
      <c r="AX32" s="148">
        <f t="shared" si="36"/>
        <v>633.13050867579909</v>
      </c>
      <c r="AZ32" s="151">
        <v>8</v>
      </c>
      <c r="BA32" s="164">
        <f>Nómina!G36</f>
        <v>0</v>
      </c>
      <c r="BB32" s="148">
        <f t="shared" si="37"/>
        <v>0</v>
      </c>
      <c r="BF32" s="13"/>
      <c r="BG32" s="13"/>
      <c r="BH32" s="13"/>
      <c r="BI32" s="13"/>
      <c r="BJ32" s="13"/>
    </row>
    <row r="33" spans="2:64" ht="50.25" customHeight="1">
      <c r="B33" s="153">
        <f t="shared" si="38"/>
        <v>9</v>
      </c>
      <c r="C33" s="163" t="s">
        <v>172</v>
      </c>
      <c r="D33" s="163" t="s">
        <v>80</v>
      </c>
      <c r="E33" s="166">
        <v>25000</v>
      </c>
      <c r="F33" s="144">
        <f t="shared" si="0"/>
        <v>20694.566483324201</v>
      </c>
      <c r="G33" s="143">
        <v>30</v>
      </c>
      <c r="H33" s="163">
        <v>2</v>
      </c>
      <c r="I33" s="163">
        <v>8</v>
      </c>
      <c r="J33" s="143">
        <f t="shared" si="1"/>
        <v>15487.72</v>
      </c>
      <c r="K33" s="143">
        <f t="shared" si="2"/>
        <v>9512.2800000000007</v>
      </c>
      <c r="L33" s="145">
        <f t="shared" si="3"/>
        <v>0.21359999999999998</v>
      </c>
      <c r="M33" s="144">
        <f t="shared" si="4"/>
        <v>2031.8230080000001</v>
      </c>
      <c r="N33" s="143">
        <f t="shared" si="5"/>
        <v>1640.48</v>
      </c>
      <c r="O33" s="143">
        <f t="shared" si="6"/>
        <v>20</v>
      </c>
      <c r="P33" s="145">
        <f t="shared" si="7"/>
        <v>3672.3030079999999</v>
      </c>
      <c r="Q33" s="145">
        <f t="shared" si="8"/>
        <v>1836.1515039999999</v>
      </c>
      <c r="R33" s="145">
        <f t="shared" si="9"/>
        <v>833.33333333333337</v>
      </c>
      <c r="S33" s="145">
        <f t="shared" si="10"/>
        <v>6.8493150684931505</v>
      </c>
      <c r="T33" s="145">
        <f t="shared" si="11"/>
        <v>34.246575342465754</v>
      </c>
      <c r="U33" s="145">
        <f t="shared" si="12"/>
        <v>874.42922374429236</v>
      </c>
      <c r="V33" s="145">
        <f t="shared" si="13"/>
        <v>478.62479999999994</v>
      </c>
      <c r="W33" s="145">
        <f t="shared" si="14"/>
        <v>114.94982922374429</v>
      </c>
      <c r="X33" s="145">
        <f t="shared" si="15"/>
        <v>41.79993789954338</v>
      </c>
      <c r="Y33" s="145">
        <f t="shared" si="16"/>
        <v>122.42009132420094</v>
      </c>
      <c r="Z33" s="145">
        <f t="shared" si="17"/>
        <v>43.721461187214615</v>
      </c>
      <c r="AA33" s="145">
        <f t="shared" si="18"/>
        <v>183.63013698630141</v>
      </c>
      <c r="AB33" s="145">
        <f t="shared" si="19"/>
        <v>65.58</v>
      </c>
      <c r="AC33" s="145">
        <f t="shared" si="20"/>
        <v>475.3</v>
      </c>
      <c r="AD33" s="146">
        <f t="shared" si="21"/>
        <v>306.05</v>
      </c>
      <c r="AE33" s="145">
        <f t="shared" si="22"/>
        <v>109.3</v>
      </c>
      <c r="AF33" s="145">
        <f t="shared" si="23"/>
        <v>174.89</v>
      </c>
      <c r="AG33" s="145">
        <f t="shared" si="24"/>
        <v>1374.9248575342465</v>
      </c>
      <c r="AH33" s="145">
        <f t="shared" si="25"/>
        <v>151.10139908675799</v>
      </c>
      <c r="AJ33" s="167">
        <v>59</v>
      </c>
      <c r="AK33" s="168">
        <v>2</v>
      </c>
      <c r="AL33" s="168">
        <v>8</v>
      </c>
      <c r="AM33" s="147">
        <f t="shared" si="26"/>
        <v>49</v>
      </c>
      <c r="AN33" s="148">
        <f t="shared" si="27"/>
        <v>856.94063926940657</v>
      </c>
      <c r="AO33" s="149">
        <f t="shared" si="28"/>
        <v>7.4540041236407157</v>
      </c>
      <c r="AP33" s="150">
        <f t="shared" si="29"/>
        <v>6.4219999999999999E-2</v>
      </c>
      <c r="AQ33" s="148">
        <f t="shared" si="30"/>
        <v>2751.6363926940644</v>
      </c>
      <c r="AR33" s="148">
        <f t="shared" si="31"/>
        <v>482.02910958904113</v>
      </c>
      <c r="AS33" s="148">
        <f t="shared" si="32"/>
        <v>2142.3515981735163</v>
      </c>
      <c r="AT33" s="148">
        <f t="shared" si="33"/>
        <v>4893.9879908675812</v>
      </c>
      <c r="AU33" s="148">
        <f t="shared" si="34"/>
        <v>482.02910958904113</v>
      </c>
      <c r="AW33" s="148">
        <f t="shared" si="35"/>
        <v>6268.9128484018274</v>
      </c>
      <c r="AX33" s="148">
        <f t="shared" si="36"/>
        <v>633.13050867579909</v>
      </c>
      <c r="AZ33" s="151">
        <v>9</v>
      </c>
      <c r="BA33" s="164">
        <f>Nómina!G37</f>
        <v>0</v>
      </c>
      <c r="BB33" s="148">
        <f t="shared" si="37"/>
        <v>0</v>
      </c>
      <c r="BF33" s="13"/>
      <c r="BG33" s="13"/>
      <c r="BH33" s="13"/>
      <c r="BI33" s="13"/>
      <c r="BJ33" s="13"/>
    </row>
    <row r="34" spans="2:64" ht="50.25" customHeight="1">
      <c r="B34" s="153">
        <f t="shared" si="38"/>
        <v>10</v>
      </c>
      <c r="C34" s="163" t="s">
        <v>172</v>
      </c>
      <c r="D34" s="163" t="s">
        <v>80</v>
      </c>
      <c r="E34" s="166">
        <v>25000</v>
      </c>
      <c r="F34" s="144">
        <f t="shared" si="0"/>
        <v>20694.566483324201</v>
      </c>
      <c r="G34" s="143">
        <v>30</v>
      </c>
      <c r="H34" s="163">
        <v>2</v>
      </c>
      <c r="I34" s="163">
        <v>8</v>
      </c>
      <c r="J34" s="143">
        <f t="shared" si="1"/>
        <v>15487.72</v>
      </c>
      <c r="K34" s="143">
        <f t="shared" si="2"/>
        <v>9512.2800000000007</v>
      </c>
      <c r="L34" s="145">
        <f t="shared" si="3"/>
        <v>0.21359999999999998</v>
      </c>
      <c r="M34" s="144">
        <f t="shared" si="4"/>
        <v>2031.8230080000001</v>
      </c>
      <c r="N34" s="143">
        <f t="shared" si="5"/>
        <v>1640.48</v>
      </c>
      <c r="O34" s="143">
        <f t="shared" si="6"/>
        <v>20</v>
      </c>
      <c r="P34" s="145">
        <f t="shared" si="7"/>
        <v>3672.3030079999999</v>
      </c>
      <c r="Q34" s="145">
        <f t="shared" si="8"/>
        <v>1836.1515039999999</v>
      </c>
      <c r="R34" s="145">
        <f t="shared" si="9"/>
        <v>833.33333333333337</v>
      </c>
      <c r="S34" s="145">
        <f t="shared" si="10"/>
        <v>6.8493150684931505</v>
      </c>
      <c r="T34" s="145">
        <f t="shared" si="11"/>
        <v>34.246575342465754</v>
      </c>
      <c r="U34" s="145">
        <f t="shared" si="12"/>
        <v>874.42922374429236</v>
      </c>
      <c r="V34" s="145">
        <f t="shared" si="13"/>
        <v>478.62479999999994</v>
      </c>
      <c r="W34" s="145">
        <f t="shared" si="14"/>
        <v>114.94982922374429</v>
      </c>
      <c r="X34" s="145">
        <f t="shared" si="15"/>
        <v>41.79993789954338</v>
      </c>
      <c r="Y34" s="145">
        <f t="shared" si="16"/>
        <v>122.42009132420094</v>
      </c>
      <c r="Z34" s="145">
        <f t="shared" si="17"/>
        <v>43.721461187214615</v>
      </c>
      <c r="AA34" s="145">
        <f t="shared" si="18"/>
        <v>183.63013698630141</v>
      </c>
      <c r="AB34" s="145">
        <f t="shared" si="19"/>
        <v>65.58</v>
      </c>
      <c r="AC34" s="145">
        <f t="shared" si="20"/>
        <v>475.3</v>
      </c>
      <c r="AD34" s="146">
        <f t="shared" si="21"/>
        <v>306.05</v>
      </c>
      <c r="AE34" s="145">
        <f t="shared" si="22"/>
        <v>109.3</v>
      </c>
      <c r="AF34" s="145">
        <f t="shared" si="23"/>
        <v>174.89</v>
      </c>
      <c r="AG34" s="145">
        <f t="shared" si="24"/>
        <v>1374.9248575342465</v>
      </c>
      <c r="AH34" s="145">
        <f t="shared" si="25"/>
        <v>151.10139908675799</v>
      </c>
      <c r="AJ34" s="167">
        <v>59</v>
      </c>
      <c r="AK34" s="168">
        <v>2</v>
      </c>
      <c r="AL34" s="168">
        <v>8</v>
      </c>
      <c r="AM34" s="147">
        <f t="shared" si="26"/>
        <v>49</v>
      </c>
      <c r="AN34" s="148">
        <f t="shared" si="27"/>
        <v>856.94063926940657</v>
      </c>
      <c r="AO34" s="149">
        <f t="shared" si="28"/>
        <v>7.4540041236407157</v>
      </c>
      <c r="AP34" s="150">
        <f t="shared" si="29"/>
        <v>6.4219999999999999E-2</v>
      </c>
      <c r="AQ34" s="148">
        <f t="shared" si="30"/>
        <v>2751.6363926940644</v>
      </c>
      <c r="AR34" s="148">
        <f t="shared" si="31"/>
        <v>482.02910958904113</v>
      </c>
      <c r="AS34" s="148">
        <f t="shared" si="32"/>
        <v>2142.3515981735163</v>
      </c>
      <c r="AT34" s="148">
        <f t="shared" si="33"/>
        <v>4893.9879908675812</v>
      </c>
      <c r="AU34" s="148">
        <f t="shared" si="34"/>
        <v>482.02910958904113</v>
      </c>
      <c r="AW34" s="148">
        <f t="shared" si="35"/>
        <v>6268.9128484018274</v>
      </c>
      <c r="AX34" s="148">
        <f t="shared" si="36"/>
        <v>633.13050867579909</v>
      </c>
      <c r="AZ34" s="151">
        <v>10</v>
      </c>
      <c r="BA34" s="164">
        <f>Nómina!G38</f>
        <v>0</v>
      </c>
      <c r="BB34" s="148">
        <f t="shared" si="37"/>
        <v>0</v>
      </c>
      <c r="BF34" s="13"/>
      <c r="BG34" s="13"/>
      <c r="BH34" s="13"/>
      <c r="BI34" s="13"/>
      <c r="BJ34" s="13"/>
    </row>
    <row r="35" spans="2:64" ht="50.25" customHeight="1">
      <c r="B35" s="153">
        <f t="shared" si="38"/>
        <v>11</v>
      </c>
      <c r="C35" s="163" t="s">
        <v>172</v>
      </c>
      <c r="D35" s="163" t="s">
        <v>80</v>
      </c>
      <c r="E35" s="166">
        <v>25000</v>
      </c>
      <c r="F35" s="144">
        <f t="shared" si="0"/>
        <v>20694.566483324201</v>
      </c>
      <c r="G35" s="143">
        <v>30</v>
      </c>
      <c r="H35" s="163">
        <v>2</v>
      </c>
      <c r="I35" s="163">
        <v>8</v>
      </c>
      <c r="J35" s="143">
        <f t="shared" si="1"/>
        <v>15487.72</v>
      </c>
      <c r="K35" s="143">
        <f t="shared" si="2"/>
        <v>9512.2800000000007</v>
      </c>
      <c r="L35" s="145">
        <f t="shared" si="3"/>
        <v>0.21359999999999998</v>
      </c>
      <c r="M35" s="144">
        <f t="shared" si="4"/>
        <v>2031.8230080000001</v>
      </c>
      <c r="N35" s="143">
        <f t="shared" si="5"/>
        <v>1640.48</v>
      </c>
      <c r="O35" s="143">
        <f t="shared" si="6"/>
        <v>20</v>
      </c>
      <c r="P35" s="145">
        <f t="shared" si="7"/>
        <v>3672.3030079999999</v>
      </c>
      <c r="Q35" s="145">
        <f t="shared" si="8"/>
        <v>1836.1515039999999</v>
      </c>
      <c r="R35" s="145">
        <f t="shared" si="9"/>
        <v>833.33333333333337</v>
      </c>
      <c r="S35" s="145">
        <f t="shared" si="10"/>
        <v>6.8493150684931505</v>
      </c>
      <c r="T35" s="145">
        <f t="shared" si="11"/>
        <v>34.246575342465754</v>
      </c>
      <c r="U35" s="145">
        <f t="shared" si="12"/>
        <v>874.42922374429236</v>
      </c>
      <c r="V35" s="145">
        <f t="shared" si="13"/>
        <v>478.62479999999994</v>
      </c>
      <c r="W35" s="145">
        <f t="shared" si="14"/>
        <v>114.94982922374429</v>
      </c>
      <c r="X35" s="145">
        <f t="shared" si="15"/>
        <v>41.79993789954338</v>
      </c>
      <c r="Y35" s="145">
        <f t="shared" si="16"/>
        <v>122.42009132420094</v>
      </c>
      <c r="Z35" s="145">
        <f t="shared" si="17"/>
        <v>43.721461187214615</v>
      </c>
      <c r="AA35" s="145">
        <f t="shared" si="18"/>
        <v>183.63013698630141</v>
      </c>
      <c r="AB35" s="145">
        <f t="shared" si="19"/>
        <v>65.58</v>
      </c>
      <c r="AC35" s="145">
        <f t="shared" si="20"/>
        <v>475.3</v>
      </c>
      <c r="AD35" s="146">
        <f t="shared" si="21"/>
        <v>306.05</v>
      </c>
      <c r="AE35" s="145">
        <f t="shared" si="22"/>
        <v>109.3</v>
      </c>
      <c r="AF35" s="145">
        <f t="shared" si="23"/>
        <v>174.89</v>
      </c>
      <c r="AG35" s="145">
        <f t="shared" si="24"/>
        <v>1374.9248575342465</v>
      </c>
      <c r="AH35" s="145">
        <f t="shared" si="25"/>
        <v>151.10139908675799</v>
      </c>
      <c r="AJ35" s="167">
        <v>59</v>
      </c>
      <c r="AK35" s="168">
        <v>2</v>
      </c>
      <c r="AL35" s="168">
        <v>8</v>
      </c>
      <c r="AM35" s="147">
        <f t="shared" si="26"/>
        <v>49</v>
      </c>
      <c r="AN35" s="148">
        <f t="shared" si="27"/>
        <v>856.94063926940657</v>
      </c>
      <c r="AO35" s="149">
        <f t="shared" si="28"/>
        <v>7.4540041236407157</v>
      </c>
      <c r="AP35" s="150">
        <f t="shared" si="29"/>
        <v>6.4219999999999999E-2</v>
      </c>
      <c r="AQ35" s="148">
        <f t="shared" si="30"/>
        <v>2751.6363926940644</v>
      </c>
      <c r="AR35" s="148">
        <f t="shared" si="31"/>
        <v>482.02910958904113</v>
      </c>
      <c r="AS35" s="148">
        <f t="shared" si="32"/>
        <v>2142.3515981735163</v>
      </c>
      <c r="AT35" s="148">
        <f t="shared" si="33"/>
        <v>4893.9879908675812</v>
      </c>
      <c r="AU35" s="148">
        <f t="shared" si="34"/>
        <v>482.02910958904113</v>
      </c>
      <c r="AW35" s="148">
        <f t="shared" si="35"/>
        <v>6268.9128484018274</v>
      </c>
      <c r="AX35" s="148">
        <f t="shared" si="36"/>
        <v>633.13050867579909</v>
      </c>
      <c r="AZ35" s="151">
        <v>11</v>
      </c>
      <c r="BA35" s="164">
        <f>Nómina!G39</f>
        <v>0</v>
      </c>
      <c r="BB35" s="148">
        <f t="shared" si="37"/>
        <v>0</v>
      </c>
      <c r="BF35" s="13"/>
      <c r="BG35" s="13"/>
      <c r="BH35" s="13"/>
      <c r="BI35" s="13"/>
      <c r="BJ35" s="13"/>
    </row>
    <row r="36" spans="2:64" ht="50.25" customHeight="1">
      <c r="B36" s="153">
        <f t="shared" si="38"/>
        <v>12</v>
      </c>
      <c r="C36" s="163" t="s">
        <v>172</v>
      </c>
      <c r="D36" s="163" t="s">
        <v>80</v>
      </c>
      <c r="E36" s="166">
        <v>25000</v>
      </c>
      <c r="F36" s="144">
        <f t="shared" si="0"/>
        <v>20694.566483324201</v>
      </c>
      <c r="G36" s="143">
        <v>30</v>
      </c>
      <c r="H36" s="163">
        <v>2</v>
      </c>
      <c r="I36" s="163">
        <v>8</v>
      </c>
      <c r="J36" s="143">
        <f t="shared" si="1"/>
        <v>15487.72</v>
      </c>
      <c r="K36" s="143">
        <f t="shared" si="2"/>
        <v>9512.2800000000007</v>
      </c>
      <c r="L36" s="145">
        <f t="shared" si="3"/>
        <v>0.21359999999999998</v>
      </c>
      <c r="M36" s="144">
        <f t="shared" si="4"/>
        <v>2031.8230080000001</v>
      </c>
      <c r="N36" s="143">
        <f t="shared" si="5"/>
        <v>1640.48</v>
      </c>
      <c r="O36" s="143">
        <f t="shared" si="6"/>
        <v>20</v>
      </c>
      <c r="P36" s="145">
        <f t="shared" si="7"/>
        <v>3672.3030079999999</v>
      </c>
      <c r="Q36" s="145">
        <f t="shared" si="8"/>
        <v>1836.1515039999999</v>
      </c>
      <c r="R36" s="145">
        <f t="shared" si="9"/>
        <v>833.33333333333337</v>
      </c>
      <c r="S36" s="145">
        <f t="shared" si="10"/>
        <v>6.8493150684931505</v>
      </c>
      <c r="T36" s="145">
        <f t="shared" si="11"/>
        <v>34.246575342465754</v>
      </c>
      <c r="U36" s="145">
        <f t="shared" si="12"/>
        <v>874.42922374429236</v>
      </c>
      <c r="V36" s="145">
        <f t="shared" si="13"/>
        <v>478.62479999999994</v>
      </c>
      <c r="W36" s="145">
        <f t="shared" si="14"/>
        <v>114.94982922374429</v>
      </c>
      <c r="X36" s="145">
        <f t="shared" si="15"/>
        <v>41.79993789954338</v>
      </c>
      <c r="Y36" s="145">
        <f t="shared" si="16"/>
        <v>122.42009132420094</v>
      </c>
      <c r="Z36" s="145">
        <f t="shared" si="17"/>
        <v>43.721461187214615</v>
      </c>
      <c r="AA36" s="145">
        <f t="shared" si="18"/>
        <v>183.63013698630141</v>
      </c>
      <c r="AB36" s="145">
        <f t="shared" si="19"/>
        <v>65.58</v>
      </c>
      <c r="AC36" s="145">
        <f t="shared" si="20"/>
        <v>475.3</v>
      </c>
      <c r="AD36" s="146">
        <f t="shared" si="21"/>
        <v>306.05</v>
      </c>
      <c r="AE36" s="145">
        <f t="shared" si="22"/>
        <v>109.3</v>
      </c>
      <c r="AF36" s="145">
        <f t="shared" si="23"/>
        <v>174.89</v>
      </c>
      <c r="AG36" s="145">
        <f t="shared" si="24"/>
        <v>1374.9248575342465</v>
      </c>
      <c r="AH36" s="145">
        <f t="shared" si="25"/>
        <v>151.10139908675799</v>
      </c>
      <c r="AJ36" s="167">
        <v>59</v>
      </c>
      <c r="AK36" s="168">
        <v>2</v>
      </c>
      <c r="AL36" s="168">
        <v>8</v>
      </c>
      <c r="AM36" s="147">
        <f t="shared" si="26"/>
        <v>49</v>
      </c>
      <c r="AN36" s="148">
        <f t="shared" si="27"/>
        <v>856.94063926940657</v>
      </c>
      <c r="AO36" s="149">
        <f t="shared" si="28"/>
        <v>7.4540041236407157</v>
      </c>
      <c r="AP36" s="150">
        <f t="shared" si="29"/>
        <v>6.4219999999999999E-2</v>
      </c>
      <c r="AQ36" s="148">
        <f t="shared" si="30"/>
        <v>2751.6363926940644</v>
      </c>
      <c r="AR36" s="148">
        <f t="shared" si="31"/>
        <v>482.02910958904113</v>
      </c>
      <c r="AS36" s="148">
        <f t="shared" si="32"/>
        <v>2142.3515981735163</v>
      </c>
      <c r="AT36" s="148">
        <f t="shared" si="33"/>
        <v>4893.9879908675812</v>
      </c>
      <c r="AU36" s="148">
        <f t="shared" si="34"/>
        <v>482.02910958904113</v>
      </c>
      <c r="AW36" s="148">
        <f t="shared" si="35"/>
        <v>6268.9128484018274</v>
      </c>
      <c r="AX36" s="148">
        <f t="shared" si="36"/>
        <v>633.13050867579909</v>
      </c>
      <c r="AZ36" s="151">
        <v>12</v>
      </c>
      <c r="BA36" s="164">
        <f>Nómina!G40</f>
        <v>0</v>
      </c>
      <c r="BB36" s="148">
        <f t="shared" si="37"/>
        <v>0</v>
      </c>
      <c r="BF36" s="13"/>
      <c r="BG36" s="13"/>
      <c r="BH36" s="13"/>
      <c r="BI36" s="13"/>
      <c r="BJ36" s="13"/>
    </row>
    <row r="37" spans="2:64" ht="50.25" customHeight="1">
      <c r="B37" s="153">
        <f t="shared" si="38"/>
        <v>13</v>
      </c>
      <c r="C37" s="163" t="s">
        <v>172</v>
      </c>
      <c r="D37" s="163" t="s">
        <v>80</v>
      </c>
      <c r="E37" s="166">
        <v>25000</v>
      </c>
      <c r="F37" s="144">
        <f t="shared" si="0"/>
        <v>19907.580181954338</v>
      </c>
      <c r="G37" s="143">
        <v>30</v>
      </c>
      <c r="H37" s="163">
        <v>2</v>
      </c>
      <c r="I37" s="163">
        <v>8</v>
      </c>
      <c r="J37" s="143">
        <f t="shared" si="1"/>
        <v>15487.72</v>
      </c>
      <c r="K37" s="143">
        <f t="shared" si="2"/>
        <v>9512.2800000000007</v>
      </c>
      <c r="L37" s="145">
        <f t="shared" si="3"/>
        <v>0.21359999999999998</v>
      </c>
      <c r="M37" s="144">
        <f t="shared" si="4"/>
        <v>2031.8230080000001</v>
      </c>
      <c r="N37" s="143">
        <f t="shared" si="5"/>
        <v>1640.48</v>
      </c>
      <c r="O37" s="143">
        <f t="shared" si="6"/>
        <v>20</v>
      </c>
      <c r="P37" s="145">
        <f t="shared" si="7"/>
        <v>3672.3030079999999</v>
      </c>
      <c r="Q37" s="145">
        <f t="shared" si="8"/>
        <v>1836.1515039999999</v>
      </c>
      <c r="R37" s="145">
        <f t="shared" si="9"/>
        <v>833.33333333333337</v>
      </c>
      <c r="S37" s="145">
        <f t="shared" si="10"/>
        <v>6.8493150684931505</v>
      </c>
      <c r="T37" s="145">
        <f t="shared" si="11"/>
        <v>34.246575342465754</v>
      </c>
      <c r="U37" s="145">
        <f t="shared" si="12"/>
        <v>874.42922374429236</v>
      </c>
      <c r="V37" s="145">
        <f t="shared" si="13"/>
        <v>478.62479999999994</v>
      </c>
      <c r="W37" s="145">
        <f t="shared" si="14"/>
        <v>114.94982922374429</v>
      </c>
      <c r="X37" s="145">
        <f t="shared" si="15"/>
        <v>41.79993789954338</v>
      </c>
      <c r="Y37" s="145">
        <f t="shared" si="16"/>
        <v>122.42009132420094</v>
      </c>
      <c r="Z37" s="145">
        <f t="shared" si="17"/>
        <v>43.721461187214615</v>
      </c>
      <c r="AA37" s="145">
        <f t="shared" si="18"/>
        <v>183.63013698630141</v>
      </c>
      <c r="AB37" s="145">
        <f t="shared" si="19"/>
        <v>65.58</v>
      </c>
      <c r="AC37" s="145">
        <f t="shared" si="20"/>
        <v>475.3</v>
      </c>
      <c r="AD37" s="146">
        <f t="shared" si="21"/>
        <v>306.05</v>
      </c>
      <c r="AE37" s="145">
        <f t="shared" si="22"/>
        <v>109.3</v>
      </c>
      <c r="AF37" s="145">
        <f t="shared" si="23"/>
        <v>174.89</v>
      </c>
      <c r="AG37" s="145">
        <f t="shared" si="24"/>
        <v>1374.9248575342465</v>
      </c>
      <c r="AH37" s="145">
        <f t="shared" si="25"/>
        <v>151.10139908675799</v>
      </c>
      <c r="AJ37" s="167">
        <v>59</v>
      </c>
      <c r="AK37" s="168">
        <v>2</v>
      </c>
      <c r="AL37" s="168">
        <v>8</v>
      </c>
      <c r="AM37" s="147">
        <f t="shared" si="26"/>
        <v>49</v>
      </c>
      <c r="AN37" s="148">
        <f t="shared" si="27"/>
        <v>856.94063926940657</v>
      </c>
      <c r="AO37" s="149">
        <f t="shared" si="28"/>
        <v>7.4540041236407157</v>
      </c>
      <c r="AP37" s="150">
        <f t="shared" si="29"/>
        <v>6.4219999999999999E-2</v>
      </c>
      <c r="AQ37" s="148">
        <f t="shared" si="30"/>
        <v>2751.6363926940644</v>
      </c>
      <c r="AR37" s="148">
        <f t="shared" si="31"/>
        <v>482.02910958904113</v>
      </c>
      <c r="AS37" s="148">
        <f t="shared" si="32"/>
        <v>2142.3515981735163</v>
      </c>
      <c r="AT37" s="148">
        <f t="shared" si="33"/>
        <v>4893.9879908675812</v>
      </c>
      <c r="AU37" s="148">
        <f t="shared" si="34"/>
        <v>482.02910958904113</v>
      </c>
      <c r="AW37" s="148">
        <f t="shared" si="35"/>
        <v>6268.9128484018274</v>
      </c>
      <c r="AX37" s="148">
        <f t="shared" si="36"/>
        <v>633.13050867579909</v>
      </c>
      <c r="AZ37" s="151">
        <v>13</v>
      </c>
      <c r="BA37" s="164">
        <f>Nómina!G41</f>
        <v>0.03</v>
      </c>
      <c r="BB37" s="148">
        <f t="shared" si="37"/>
        <v>786.9863013698631</v>
      </c>
      <c r="BF37" s="13"/>
      <c r="BG37" s="13"/>
      <c r="BH37" s="13"/>
      <c r="BI37" s="13"/>
      <c r="BJ37" s="13"/>
    </row>
    <row r="38" spans="2:64" ht="50.25" customHeight="1">
      <c r="B38" s="153">
        <f t="shared" si="38"/>
        <v>14</v>
      </c>
      <c r="C38" s="163" t="s">
        <v>172</v>
      </c>
      <c r="D38" s="163" t="s">
        <v>80</v>
      </c>
      <c r="E38" s="166">
        <v>25000</v>
      </c>
      <c r="F38" s="144">
        <f t="shared" si="0"/>
        <v>20694.566483324201</v>
      </c>
      <c r="G38" s="143">
        <v>30</v>
      </c>
      <c r="H38" s="163">
        <v>2</v>
      </c>
      <c r="I38" s="163">
        <v>8</v>
      </c>
      <c r="J38" s="143">
        <f t="shared" si="1"/>
        <v>15487.72</v>
      </c>
      <c r="K38" s="143">
        <f t="shared" si="2"/>
        <v>9512.2800000000007</v>
      </c>
      <c r="L38" s="145">
        <f t="shared" si="3"/>
        <v>0.21359999999999998</v>
      </c>
      <c r="M38" s="144">
        <f t="shared" si="4"/>
        <v>2031.8230080000001</v>
      </c>
      <c r="N38" s="143">
        <f t="shared" si="5"/>
        <v>1640.48</v>
      </c>
      <c r="O38" s="143">
        <f t="shared" si="6"/>
        <v>20</v>
      </c>
      <c r="P38" s="145">
        <f t="shared" si="7"/>
        <v>3672.3030079999999</v>
      </c>
      <c r="Q38" s="145">
        <f t="shared" si="8"/>
        <v>1836.1515039999999</v>
      </c>
      <c r="R38" s="145">
        <f t="shared" si="9"/>
        <v>833.33333333333337</v>
      </c>
      <c r="S38" s="145">
        <f t="shared" si="10"/>
        <v>6.8493150684931505</v>
      </c>
      <c r="T38" s="145">
        <f t="shared" si="11"/>
        <v>34.246575342465754</v>
      </c>
      <c r="U38" s="145">
        <f t="shared" si="12"/>
        <v>874.42922374429236</v>
      </c>
      <c r="V38" s="145">
        <f t="shared" si="13"/>
        <v>478.62479999999994</v>
      </c>
      <c r="W38" s="145">
        <f t="shared" si="14"/>
        <v>114.94982922374429</v>
      </c>
      <c r="X38" s="145">
        <f t="shared" si="15"/>
        <v>41.79993789954338</v>
      </c>
      <c r="Y38" s="145">
        <f t="shared" si="16"/>
        <v>122.42009132420094</v>
      </c>
      <c r="Z38" s="145">
        <f t="shared" si="17"/>
        <v>43.721461187214615</v>
      </c>
      <c r="AA38" s="145">
        <f t="shared" si="18"/>
        <v>183.63013698630141</v>
      </c>
      <c r="AB38" s="145">
        <f t="shared" si="19"/>
        <v>65.58</v>
      </c>
      <c r="AC38" s="145">
        <f t="shared" si="20"/>
        <v>475.3</v>
      </c>
      <c r="AD38" s="146">
        <f t="shared" si="21"/>
        <v>306.05</v>
      </c>
      <c r="AE38" s="145">
        <f t="shared" si="22"/>
        <v>109.3</v>
      </c>
      <c r="AF38" s="145">
        <f t="shared" si="23"/>
        <v>174.89</v>
      </c>
      <c r="AG38" s="145">
        <f t="shared" si="24"/>
        <v>1374.9248575342465</v>
      </c>
      <c r="AH38" s="145">
        <f t="shared" si="25"/>
        <v>151.10139908675799</v>
      </c>
      <c r="AJ38" s="167">
        <v>59</v>
      </c>
      <c r="AK38" s="168">
        <v>2</v>
      </c>
      <c r="AL38" s="168">
        <v>8</v>
      </c>
      <c r="AM38" s="147">
        <f t="shared" si="26"/>
        <v>49</v>
      </c>
      <c r="AN38" s="148">
        <f t="shared" si="27"/>
        <v>856.94063926940657</v>
      </c>
      <c r="AO38" s="149">
        <f t="shared" si="28"/>
        <v>7.4540041236407157</v>
      </c>
      <c r="AP38" s="150">
        <f t="shared" si="29"/>
        <v>6.4219999999999999E-2</v>
      </c>
      <c r="AQ38" s="148">
        <f t="shared" si="30"/>
        <v>2751.6363926940644</v>
      </c>
      <c r="AR38" s="148">
        <f t="shared" si="31"/>
        <v>482.02910958904113</v>
      </c>
      <c r="AS38" s="148">
        <f t="shared" si="32"/>
        <v>2142.3515981735163</v>
      </c>
      <c r="AT38" s="148">
        <f t="shared" si="33"/>
        <v>4893.9879908675812</v>
      </c>
      <c r="AU38" s="148">
        <f t="shared" si="34"/>
        <v>482.02910958904113</v>
      </c>
      <c r="AW38" s="148">
        <f t="shared" si="35"/>
        <v>6268.9128484018274</v>
      </c>
      <c r="AX38" s="148">
        <f t="shared" si="36"/>
        <v>633.13050867579909</v>
      </c>
      <c r="AZ38" s="151">
        <v>14</v>
      </c>
      <c r="BA38" s="164">
        <f>Nómina!G42</f>
        <v>0</v>
      </c>
      <c r="BB38" s="148">
        <f t="shared" si="37"/>
        <v>0</v>
      </c>
      <c r="BF38" s="13"/>
      <c r="BG38" s="13"/>
      <c r="BH38" s="13"/>
      <c r="BI38" s="13"/>
      <c r="BJ38" s="13"/>
    </row>
    <row r="39" spans="2:64" ht="50.25" customHeight="1">
      <c r="B39" s="153">
        <f t="shared" si="38"/>
        <v>15</v>
      </c>
      <c r="C39" s="163" t="s">
        <v>172</v>
      </c>
      <c r="D39" s="163" t="s">
        <v>80</v>
      </c>
      <c r="E39" s="166">
        <v>25000</v>
      </c>
      <c r="F39" s="144">
        <f t="shared" si="0"/>
        <v>20694.566483324201</v>
      </c>
      <c r="G39" s="143">
        <v>30</v>
      </c>
      <c r="H39" s="163">
        <v>2</v>
      </c>
      <c r="I39" s="163">
        <v>8</v>
      </c>
      <c r="J39" s="143">
        <f t="shared" si="1"/>
        <v>15487.72</v>
      </c>
      <c r="K39" s="143">
        <f t="shared" si="2"/>
        <v>9512.2800000000007</v>
      </c>
      <c r="L39" s="145">
        <f t="shared" si="3"/>
        <v>0.21359999999999998</v>
      </c>
      <c r="M39" s="144">
        <f t="shared" si="4"/>
        <v>2031.8230080000001</v>
      </c>
      <c r="N39" s="143">
        <f t="shared" si="5"/>
        <v>1640.48</v>
      </c>
      <c r="O39" s="143">
        <f t="shared" si="6"/>
        <v>20</v>
      </c>
      <c r="P39" s="145">
        <f t="shared" si="7"/>
        <v>3672.3030079999999</v>
      </c>
      <c r="Q39" s="145">
        <f t="shared" si="8"/>
        <v>1836.1515039999999</v>
      </c>
      <c r="R39" s="145">
        <f t="shared" si="9"/>
        <v>833.33333333333337</v>
      </c>
      <c r="S39" s="145">
        <f t="shared" si="10"/>
        <v>6.8493150684931505</v>
      </c>
      <c r="T39" s="145">
        <f t="shared" si="11"/>
        <v>34.246575342465754</v>
      </c>
      <c r="U39" s="145">
        <f t="shared" si="12"/>
        <v>874.42922374429236</v>
      </c>
      <c r="V39" s="145">
        <f t="shared" si="13"/>
        <v>478.62479999999994</v>
      </c>
      <c r="W39" s="145">
        <f t="shared" si="14"/>
        <v>114.94982922374429</v>
      </c>
      <c r="X39" s="145">
        <f t="shared" si="15"/>
        <v>41.79993789954338</v>
      </c>
      <c r="Y39" s="145">
        <f t="shared" si="16"/>
        <v>122.42009132420094</v>
      </c>
      <c r="Z39" s="145">
        <f t="shared" si="17"/>
        <v>43.721461187214615</v>
      </c>
      <c r="AA39" s="145">
        <f t="shared" si="18"/>
        <v>183.63013698630141</v>
      </c>
      <c r="AB39" s="145">
        <f t="shared" si="19"/>
        <v>65.58</v>
      </c>
      <c r="AC39" s="145">
        <f t="shared" si="20"/>
        <v>475.3</v>
      </c>
      <c r="AD39" s="146">
        <f t="shared" si="21"/>
        <v>306.05</v>
      </c>
      <c r="AE39" s="145">
        <f t="shared" si="22"/>
        <v>109.3</v>
      </c>
      <c r="AF39" s="145">
        <f t="shared" si="23"/>
        <v>174.89</v>
      </c>
      <c r="AG39" s="145">
        <f t="shared" si="24"/>
        <v>1374.9248575342465</v>
      </c>
      <c r="AH39" s="145">
        <f t="shared" si="25"/>
        <v>151.10139908675799</v>
      </c>
      <c r="AJ39" s="167">
        <v>59</v>
      </c>
      <c r="AK39" s="168">
        <v>2</v>
      </c>
      <c r="AL39" s="168">
        <v>8</v>
      </c>
      <c r="AM39" s="147">
        <f t="shared" si="26"/>
        <v>49</v>
      </c>
      <c r="AN39" s="148">
        <f t="shared" si="27"/>
        <v>856.94063926940657</v>
      </c>
      <c r="AO39" s="149">
        <f t="shared" si="28"/>
        <v>7.4540041236407157</v>
      </c>
      <c r="AP39" s="150">
        <f t="shared" si="29"/>
        <v>6.4219999999999999E-2</v>
      </c>
      <c r="AQ39" s="148">
        <f t="shared" si="30"/>
        <v>2751.6363926940644</v>
      </c>
      <c r="AR39" s="148">
        <f t="shared" si="31"/>
        <v>482.02910958904113</v>
      </c>
      <c r="AS39" s="148">
        <f t="shared" si="32"/>
        <v>2142.3515981735163</v>
      </c>
      <c r="AT39" s="148">
        <f t="shared" si="33"/>
        <v>4893.9879908675812</v>
      </c>
      <c r="AU39" s="148">
        <f t="shared" si="34"/>
        <v>482.02910958904113</v>
      </c>
      <c r="AW39" s="148">
        <f t="shared" si="35"/>
        <v>6268.9128484018274</v>
      </c>
      <c r="AX39" s="148">
        <f t="shared" si="36"/>
        <v>633.13050867579909</v>
      </c>
      <c r="AZ39" s="151">
        <v>15</v>
      </c>
      <c r="BA39" s="164">
        <f>Nómina!G43</f>
        <v>0</v>
      </c>
      <c r="BB39" s="148">
        <f t="shared" si="37"/>
        <v>0</v>
      </c>
      <c r="BF39" s="13"/>
      <c r="BG39" s="13"/>
      <c r="BH39" s="13"/>
      <c r="BI39" s="13"/>
      <c r="BJ39" s="13"/>
    </row>
    <row r="40" spans="2:64" ht="50.25" customHeight="1">
      <c r="BF40" s="13"/>
      <c r="BG40" s="13"/>
      <c r="BH40" s="13"/>
      <c r="BI40" s="13"/>
      <c r="BJ40" s="13"/>
    </row>
    <row r="41" spans="2:64" ht="50.25" customHeight="1" thickBot="1">
      <c r="BF41" s="13"/>
      <c r="BG41" s="13"/>
      <c r="BH41" s="13"/>
      <c r="BI41" s="13"/>
      <c r="BJ41" s="13"/>
    </row>
    <row r="42" spans="2:64" ht="34" customHeight="1" thickBot="1">
      <c r="D42" s="135" t="s">
        <v>173</v>
      </c>
      <c r="E42" s="152">
        <f>SUM(E25:E39)+BB42</f>
        <v>381558.21917808219</v>
      </c>
      <c r="AV42" s="61" t="s">
        <v>174</v>
      </c>
      <c r="AW42" s="136">
        <f>SUM(AW25:AW39)</f>
        <v>94033.692726027424</v>
      </c>
      <c r="AX42" s="136">
        <f>SUM(AX25:AX39)</f>
        <v>9496.9576301369871</v>
      </c>
      <c r="BA42" s="61" t="s">
        <v>174</v>
      </c>
      <c r="BB42" s="62">
        <f>SUM(BB25:BB39)</f>
        <v>6558.2191780821931</v>
      </c>
      <c r="BF42" s="13"/>
      <c r="BG42" s="13"/>
      <c r="BH42" s="13"/>
      <c r="BI42" s="13"/>
      <c r="BJ42" s="13"/>
    </row>
    <row r="43" spans="2:64" ht="27" customHeight="1" thickBot="1">
      <c r="BF43" s="13"/>
      <c r="BG43" s="13"/>
      <c r="BH43" s="13"/>
      <c r="BI43" s="13"/>
      <c r="BJ43" s="13"/>
    </row>
    <row r="44" spans="2:64" ht="33" customHeight="1" thickBot="1">
      <c r="AV44" s="63"/>
      <c r="AW44" s="61" t="s">
        <v>175</v>
      </c>
      <c r="AX44" s="136">
        <f>AW42+AX42</f>
        <v>103530.65035616441</v>
      </c>
      <c r="BF44" s="41"/>
      <c r="BG44" s="39"/>
      <c r="BH44" s="39"/>
      <c r="BI44" s="39"/>
      <c r="BJ44" s="39"/>
      <c r="BL44" s="39"/>
    </row>
    <row r="45" spans="2:64">
      <c r="BF45" s="13"/>
      <c r="BG45" s="13"/>
      <c r="BH45" s="13"/>
      <c r="BI45" s="13"/>
      <c r="BJ45" s="13"/>
    </row>
    <row r="46" spans="2:64" ht="62" customHeight="1">
      <c r="BF46" s="13"/>
      <c r="BG46" s="13"/>
      <c r="BH46" s="13"/>
      <c r="BI46" s="13"/>
      <c r="BJ46" s="45"/>
      <c r="BK46" s="45"/>
    </row>
    <row r="47" spans="2:64">
      <c r="BF47" s="13"/>
      <c r="BG47" s="13"/>
      <c r="BH47" s="13"/>
      <c r="BI47" s="13"/>
      <c r="BJ47" s="13"/>
    </row>
    <row r="48" spans="2:64">
      <c r="BF48" s="13"/>
      <c r="BG48" s="13"/>
      <c r="BH48" s="13"/>
      <c r="BI48" s="13"/>
      <c r="BJ48" s="13"/>
    </row>
    <row r="49" spans="51:62">
      <c r="BF49" s="13"/>
      <c r="BG49" s="13"/>
      <c r="BH49" s="13"/>
      <c r="BI49" s="13"/>
      <c r="BJ49" s="13"/>
    </row>
    <row r="50" spans="51:62">
      <c r="BF50" s="13"/>
      <c r="BG50" s="13"/>
      <c r="BH50" s="13"/>
      <c r="BI50" s="13"/>
      <c r="BJ50" s="13"/>
    </row>
    <row r="51" spans="51:62">
      <c r="BF51" s="13"/>
      <c r="BG51" s="13"/>
      <c r="BH51" s="13"/>
      <c r="BI51" s="13"/>
      <c r="BJ51" s="13"/>
    </row>
    <row r="52" spans="51:62">
      <c r="BF52" s="13"/>
      <c r="BG52" s="13"/>
      <c r="BH52" s="13"/>
      <c r="BI52" s="13"/>
      <c r="BJ52" s="13"/>
    </row>
    <row r="53" spans="51:62">
      <c r="BF53" s="13"/>
      <c r="BG53" s="13"/>
      <c r="BH53" s="13"/>
      <c r="BI53" s="13"/>
      <c r="BJ53" s="13"/>
    </row>
    <row r="54" spans="51:62">
      <c r="AY54" s="41"/>
      <c r="BF54" s="13"/>
      <c r="BG54" s="13"/>
      <c r="BH54" s="13"/>
      <c r="BI54" s="13"/>
      <c r="BJ54" s="13"/>
    </row>
    <row r="55" spans="51:62">
      <c r="BF55" s="13"/>
      <c r="BG55" s="13"/>
      <c r="BH55" s="13"/>
      <c r="BI55" s="13"/>
      <c r="BJ55" s="13"/>
    </row>
    <row r="56" spans="51:62">
      <c r="BF56" s="13"/>
      <c r="BG56" s="13"/>
      <c r="BH56" s="13"/>
      <c r="BI56" s="13"/>
      <c r="BJ56" s="13"/>
    </row>
    <row r="57" spans="51:62">
      <c r="BF57" s="13"/>
      <c r="BG57" s="13"/>
      <c r="BH57" s="13"/>
      <c r="BI57" s="13"/>
      <c r="BJ57" s="13"/>
    </row>
    <row r="58" spans="51:62" ht="62" customHeight="1">
      <c r="BF58" s="13"/>
      <c r="BG58" s="13"/>
      <c r="BH58" s="46"/>
      <c r="BI58" s="46"/>
      <c r="BJ58" s="13"/>
    </row>
    <row r="59" spans="51:62" ht="72" customHeight="1">
      <c r="BF59" s="13"/>
      <c r="BG59" s="13"/>
      <c r="BH59" s="13"/>
    </row>
    <row r="60" spans="51:62">
      <c r="BF60" s="13"/>
      <c r="BG60" s="13"/>
      <c r="BH60" s="13"/>
    </row>
    <row r="61" spans="51:62">
      <c r="BF61" s="13"/>
      <c r="BG61" s="13"/>
      <c r="BH61" s="13"/>
    </row>
    <row r="62" spans="51:62">
      <c r="BF62" s="13"/>
      <c r="BG62" s="13"/>
      <c r="BH62" s="13"/>
      <c r="BI62" s="13"/>
      <c r="BJ62" s="13"/>
    </row>
    <row r="63" spans="51:62">
      <c r="BF63" s="13"/>
      <c r="BG63" s="13"/>
      <c r="BH63" s="13"/>
      <c r="BI63" s="13"/>
      <c r="BJ63" s="13"/>
    </row>
    <row r="64" spans="51:62">
      <c r="BF64" s="13"/>
      <c r="BG64" s="13"/>
      <c r="BH64" s="13"/>
      <c r="BI64" s="13"/>
      <c r="BJ64" s="13"/>
    </row>
    <row r="65" spans="50:62">
      <c r="BF65" s="13"/>
      <c r="BG65" s="13"/>
      <c r="BH65" s="13"/>
      <c r="BI65" s="13"/>
      <c r="BJ65" s="13"/>
    </row>
    <row r="66" spans="50:62">
      <c r="BF66" s="13"/>
      <c r="BH66" s="13"/>
      <c r="BI66" s="13"/>
      <c r="BJ66" s="13"/>
    </row>
    <row r="67" spans="50:62">
      <c r="BF67" s="13"/>
      <c r="BH67" s="13"/>
      <c r="BJ67" s="13"/>
    </row>
    <row r="68" spans="50:62">
      <c r="BF68" s="13"/>
      <c r="BG68" s="13"/>
      <c r="BH68" s="13"/>
      <c r="BI68" s="13"/>
      <c r="BJ68" s="13"/>
    </row>
    <row r="69" spans="50:62">
      <c r="BF69" s="13"/>
      <c r="BG69" s="13"/>
      <c r="BH69" s="13"/>
      <c r="BI69" s="13"/>
      <c r="BJ69" s="13"/>
    </row>
    <row r="70" spans="50:62">
      <c r="BF70" s="13"/>
      <c r="BG70" s="13"/>
      <c r="BH70" s="13"/>
      <c r="BI70" s="13"/>
      <c r="BJ70" s="13"/>
    </row>
    <row r="71" spans="50:62">
      <c r="BF71" s="13"/>
      <c r="BG71" s="13"/>
      <c r="BH71" s="13"/>
      <c r="BI71" s="13"/>
      <c r="BJ71" s="13"/>
    </row>
    <row r="72" spans="50:62">
      <c r="AX72" s="2"/>
      <c r="BF72" s="13"/>
      <c r="BG72" s="13"/>
      <c r="BH72" s="13"/>
      <c r="BI72" s="13"/>
      <c r="BJ72" s="13"/>
    </row>
    <row r="73" spans="50:62">
      <c r="AX73" s="2"/>
      <c r="BF73" s="13"/>
      <c r="BG73" s="13"/>
      <c r="BH73" s="13"/>
      <c r="BI73" s="13"/>
      <c r="BJ73" s="13"/>
    </row>
    <row r="74" spans="50:62">
      <c r="AX74" s="2"/>
      <c r="BF74" s="13"/>
      <c r="BG74" s="13"/>
      <c r="BH74" s="13"/>
      <c r="BI74" s="13"/>
      <c r="BJ74" s="13"/>
    </row>
    <row r="75" spans="50:62">
      <c r="AX75" s="2"/>
      <c r="BF75" s="13"/>
      <c r="BG75" s="13"/>
      <c r="BH75" s="13"/>
      <c r="BI75" s="13"/>
      <c r="BJ75" s="13"/>
    </row>
    <row r="76" spans="50:62">
      <c r="AX76" s="2"/>
      <c r="BF76" s="13"/>
      <c r="BG76" s="13"/>
      <c r="BH76" s="13"/>
      <c r="BI76" s="13"/>
      <c r="BJ76" s="13"/>
    </row>
    <row r="77" spans="50:62">
      <c r="AX77" s="2"/>
      <c r="BF77" s="13"/>
      <c r="BG77" s="13"/>
      <c r="BH77" s="13"/>
      <c r="BI77" s="13"/>
      <c r="BJ77" s="13"/>
    </row>
    <row r="78" spans="50:62">
      <c r="AX78" s="2"/>
      <c r="BF78" s="13"/>
      <c r="BG78" s="13"/>
      <c r="BH78" s="13"/>
      <c r="BI78" s="13"/>
    </row>
    <row r="79" spans="50:62">
      <c r="AX79" s="2"/>
      <c r="BF79" s="13"/>
      <c r="BG79" s="13"/>
      <c r="BH79" s="13"/>
      <c r="BI79" s="13"/>
    </row>
    <row r="80" spans="50:62">
      <c r="AX80" s="2"/>
      <c r="BF80" s="13"/>
      <c r="BG80" s="13"/>
      <c r="BH80" s="13"/>
      <c r="BI80" s="13"/>
    </row>
    <row r="81" spans="50:61">
      <c r="AX81" s="2"/>
      <c r="BF81" s="13"/>
      <c r="BG81" s="13"/>
      <c r="BH81" s="13"/>
      <c r="BI81" s="13"/>
    </row>
    <row r="82" spans="50:61">
      <c r="AX82" s="2"/>
      <c r="BF82" s="13"/>
      <c r="BG82" s="13"/>
      <c r="BH82" s="13"/>
      <c r="BI82" s="13"/>
    </row>
    <row r="83" spans="50:61">
      <c r="AX83" s="2"/>
      <c r="BF83" s="13"/>
      <c r="BG83" s="13"/>
      <c r="BH83" s="13"/>
      <c r="BI83" s="13"/>
    </row>
    <row r="84" spans="50:61">
      <c r="AX84" s="2"/>
      <c r="BF84" s="13"/>
      <c r="BG84" s="13"/>
      <c r="BH84" s="13"/>
      <c r="BI84" s="13"/>
    </row>
    <row r="85" spans="50:61">
      <c r="AX85" s="2"/>
    </row>
    <row r="86" spans="50:61">
      <c r="AX86" s="2"/>
    </row>
    <row r="87" spans="50:61">
      <c r="AX87" s="2"/>
    </row>
  </sheetData>
  <sheetProtection sheet="1" formatCells="0" formatColumns="0" formatRows="0" insertColumns="0" insertRows="0" deleteColumns="0" deleteRows="0" sort="0" autoFilter="0" pivotTables="0"/>
  <mergeCells count="18">
    <mergeCell ref="B1:U1"/>
    <mergeCell ref="B2:C2"/>
    <mergeCell ref="B5:C5"/>
    <mergeCell ref="E2:S2"/>
    <mergeCell ref="D8:E8"/>
    <mergeCell ref="AB11:AD11"/>
    <mergeCell ref="P7:R7"/>
    <mergeCell ref="AZ22:BB23"/>
    <mergeCell ref="AA22:AB22"/>
    <mergeCell ref="B8:B17"/>
    <mergeCell ref="AG22:AH23"/>
    <mergeCell ref="W22:X22"/>
    <mergeCell ref="AQ22:AR22"/>
    <mergeCell ref="Y22:Z22"/>
    <mergeCell ref="AD22:AE22"/>
    <mergeCell ref="AW22:AX23"/>
    <mergeCell ref="AT22:AU23"/>
    <mergeCell ref="AB10:AD10"/>
  </mergeCells>
  <dataValidations count="3">
    <dataValidation type="list" allowBlank="1" showInputMessage="1" showErrorMessage="1" promptTitle="SELECCIONA EL %" sqref="AC23" xr:uid="{00000000-0002-0000-0100-000000000000}">
      <formula1>$AC$13:$AC$17</formula1>
    </dataValidation>
    <dataValidation type="list" allowBlank="1" showInputMessage="1" showErrorMessage="1" sqref="BA25:BA39" xr:uid="{00000000-0002-0000-0100-000001000000}">
      <formula1>"0%, 1% , 2%,, 3%, 4%, 5%, 6%"</formula1>
    </dataValidation>
    <dataValidation type="list" allowBlank="1" showInputMessage="1" showErrorMessage="1" sqref="AJ25:AJ39" xr:uid="{00000000-0002-0000-0100-000002000000}">
      <formula1>$AN$11:$AN$16</formula1>
    </dataValidation>
  </dataValidations>
  <pageMargins left="0.7" right="0.7" top="0.75" bottom="0.75" header="0.3" footer="0.3"/>
  <pageSetup paperSize="9" scale="10" fitToHeight="2"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Nómina</vt:lpstr>
      <vt:lpstr>Cuotas patronales</vt:lpstr>
      <vt:lpstr>'Cuotas patronales'!Print_Area</vt:lpstr>
      <vt:lpstr>Nómina!Print_Area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ALFONSO MARIN CANO</cp:lastModifiedBy>
  <dcterms:created xsi:type="dcterms:W3CDTF">2023-11-06T06:53:42Z</dcterms:created>
  <dcterms:modified xsi:type="dcterms:W3CDTF">2026-05-15T00:49:05Z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